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3.bin" ContentType="application/vnd.openxmlformats-officedocument.spreadsheetml.customProperty"/>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ustomProperty4.bin" ContentType="application/vnd.openxmlformats-officedocument.spreadsheetml.customProperty"/>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ustomProperty5.bin" ContentType="application/vnd.openxmlformats-officedocument.spreadsheetml.customProperty"/>
  <Override PartName="/xl/drawings/drawing14.xml" ContentType="application/vnd.openxmlformats-officedocument.drawing+xml"/>
  <Override PartName="/xl/drawings/drawing15.xml" ContentType="application/vnd.openxmlformats-officedocument.drawing+xml"/>
  <Override PartName="/xl/customProperty6.bin" ContentType="application/vnd.openxmlformats-officedocument.spreadsheetml.customProperty"/>
  <Override PartName="/xl/drawings/drawing16.xml" ContentType="application/vnd.openxmlformats-officedocument.drawing+xml"/>
  <Override PartName="/xl/customProperty7.bin" ContentType="application/vnd.openxmlformats-officedocument.spreadsheetml.customProperty"/>
  <Override PartName="/xl/drawings/drawing17.xml" ContentType="application/vnd.openxmlformats-officedocument.drawing+xml"/>
  <Override PartName="/xl/customProperty8.bin" ContentType="application/vnd.openxmlformats-officedocument.spreadsheetml.customProperty"/>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richtergroup-my.sharepoint.com/personal/kovacs_anna_gedeonrichter_com/Documents/Dokumentumok/"/>
    </mc:Choice>
  </mc:AlternateContent>
  <xr:revisionPtr revIDLastSave="0" documentId="8_{50B8A406-BA2A-49E6-892B-C904D621BF76}" xr6:coauthVersionLast="47" xr6:coauthVersionMax="47" xr10:uidLastSave="{00000000-0000-0000-0000-000000000000}"/>
  <bookViews>
    <workbookView xWindow="28680" yWindow="-120" windowWidth="29040" windowHeight="15840" tabRatio="914" activeTab="12" xr2:uid="{663F9145-D154-408B-B591-9A6A48F6D538}"/>
  </bookViews>
  <sheets>
    <sheet name="Contents" sheetId="10" r:id="rId1"/>
    <sheet name="Financial Highlights" sheetId="13" r:id="rId2"/>
    <sheet name="P&amp;L (HUF)" sheetId="2" r:id="rId3"/>
    <sheet name="P&amp;L (EUR)" sheetId="22" r:id="rId4"/>
    <sheet name="BS" sheetId="3" r:id="rId5"/>
    <sheet name="CF" sheetId="14" r:id="rId6"/>
    <sheet name="Changes in Equity" sheetId="16" r:id="rId7"/>
    <sheet name="Fin. inc-exp (HUF, EUR)" sheetId="15" r:id="rId8"/>
    <sheet name="Business Unit Information" sheetId="4" r:id="rId9"/>
    <sheet name="CNS" sheetId="18" r:id="rId10"/>
    <sheet name="WHC" sheetId="19" r:id="rId11"/>
    <sheet name="BIO" sheetId="20" r:id="rId12"/>
    <sheet name="GM" sheetId="21" r:id="rId13"/>
    <sheet name="Revenue Top10" sheetId="6" r:id="rId14"/>
    <sheet name="Shareholder structure" sheetId="28" r:id="rId15"/>
    <sheet name="BU description" sheetId="11" r:id="rId16"/>
    <sheet name="FX rates " sheetId="9" r:id="rId17"/>
    <sheet name="Note" sheetId="8" r:id="rId18"/>
    <sheet name="Definitions" sheetId="29" r:id="rId19"/>
  </sheets>
  <definedNames>
    <definedName name="_xlnm._FilterDatabase" localSheetId="17" hidden="1">Note!$A$4:$A$115</definedName>
    <definedName name="_xlnm.Database" localSheetId="17">#REF!</definedName>
    <definedName name="_xlnm.Database">#REF!</definedName>
    <definedName name="DF_GRID_1" localSheetId="17">#REF!</definedName>
    <definedName name="DF_GRID_1">#REF!</definedName>
    <definedName name="DF_NAVPANEL_13" localSheetId="17">#REF!</definedName>
    <definedName name="DF_NAVPANEL_13">#REF!</definedName>
    <definedName name="DF_NAVPANEL_18" localSheetId="17">#REF!</definedName>
    <definedName name="DF_NAVPANEL_18">#REF!</definedName>
    <definedName name="_xlnm.Print_Area" localSheetId="4">BS!#REF!</definedName>
    <definedName name="_xlnm.Print_Area" localSheetId="16">'FX rates '!#REF!</definedName>
    <definedName name="_xlnm.Print_Area" localSheetId="2">'P&amp;L (HUF)'!#REF!</definedName>
    <definedName name="SAPBEXhrIndnt" hidden="1">"Wide"</definedName>
    <definedName name="SAPBEXrevision" hidden="1">4</definedName>
    <definedName name="SAPBEXsysID" hidden="1">"BW1"</definedName>
    <definedName name="SAPBEXwbID" hidden="1">"D7B74WKN01TSYP2T01UN2WCN0"</definedName>
    <definedName name="SAPsysID" hidden="1">"708C5W7SBKP804JT78WJ0JNKI"</definedName>
    <definedName name="SAPwbID" hidden="1">"ARS"</definedName>
    <definedName name="WORKBOOK_SAPBEXq0001" comment="DP_4">"DP_4"</definedName>
    <definedName name="WORKBOOK_SAPBEXq0002" comment="DP_5">"DP_5"</definedName>
    <definedName name="WORKBOOK_SAPBEXq0003" comment="DP_6">"DP_6"</definedName>
    <definedName name="WORKBOOK_SAPBEXq0004" comment="DP_7">"DP_7"</definedName>
    <definedName name="WORKBOOK_SAPBEXq0005" comment="DP_8">"DP_8"</definedName>
    <definedName name="WORKBOOK_SAPBEXq0006" comment="DP_9">"DP_9"</definedName>
    <definedName name="WORKBOOK_SAPBEXq0007" comment="DP_10">"DP_10"</definedName>
    <definedName name="WORKBOOK_SAPBEXq0008" comment="DP_11">"DP_11"</definedName>
    <definedName name="WORKBOOK_SAPBEXq0009" comment="DP_12">"DP_12"</definedName>
    <definedName name="WORKBOOK_SAPBEXq0010" comment="DP_13">"DP_13"</definedName>
    <definedName name="WORKBOOK_SAPBEXq0011" comment="DP_14">"DP_14"</definedName>
    <definedName name="WORKBOOK_SAPBEXq0012" comment="DP_15">"DP_15"</definedName>
    <definedName name="WORKBOOK_SAPBEXq0013" comment="DP_16">"DP_16"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19" l="1"/>
  <c r="O8" i="21"/>
  <c r="P16" i="21"/>
  <c r="N8" i="21" l="1"/>
  <c r="O48" i="21" l="1"/>
  <c r="O46" i="21"/>
  <c r="P49" i="21" l="1"/>
  <c r="O33" i="21" l="1"/>
  <c r="O39" i="21"/>
  <c r="O34" i="21"/>
  <c r="O41" i="21"/>
  <c r="O37" i="21"/>
  <c r="O36" i="21"/>
  <c r="AE19" i="13"/>
  <c r="AD19" i="13"/>
  <c r="AE30" i="13"/>
  <c r="AD30" i="13"/>
  <c r="O49" i="21" l="1"/>
  <c r="AB19" i="13"/>
  <c r="AB30" i="13"/>
  <c r="AC19" i="13"/>
  <c r="AC30" i="13"/>
  <c r="AH19" i="13"/>
  <c r="X31" i="3"/>
  <c r="X32" i="3" l="1"/>
  <c r="X19" i="3" l="1"/>
  <c r="X5" i="3"/>
  <c r="D24" i="16" l="1"/>
  <c r="E24" i="16"/>
  <c r="F24" i="16"/>
  <c r="C24" i="16"/>
  <c r="S28" i="6" l="1"/>
  <c r="Q28" i="6"/>
  <c r="L28" i="6"/>
  <c r="G28" i="6"/>
  <c r="S27" i="6"/>
  <c r="Q27" i="6"/>
  <c r="L27" i="6"/>
  <c r="G27" i="6"/>
  <c r="S26" i="6"/>
  <c r="Q26" i="6"/>
  <c r="L26" i="6"/>
  <c r="G26" i="6"/>
  <c r="S24" i="6"/>
  <c r="Q24" i="6"/>
  <c r="L24" i="6"/>
  <c r="G24" i="6"/>
  <c r="S22" i="6"/>
  <c r="Q22" i="6"/>
  <c r="L22" i="6"/>
  <c r="G22" i="6"/>
  <c r="Q10" i="6"/>
  <c r="L10" i="6"/>
  <c r="G10" i="6"/>
  <c r="AH17" i="13"/>
  <c r="AH16" i="13"/>
  <c r="M14" i="16"/>
  <c r="M24" i="16" s="1"/>
  <c r="AC14" i="28"/>
  <c r="AD14" i="28"/>
  <c r="AD15" i="28"/>
  <c r="Z10" i="19"/>
  <c r="Z11" i="19"/>
  <c r="Z12" i="19"/>
  <c r="Z13" i="19"/>
  <c r="Z14" i="19"/>
  <c r="Z10" i="18"/>
  <c r="Z11" i="18"/>
  <c r="Z12" i="18"/>
  <c r="Z13" i="18"/>
  <c r="Z14" i="18"/>
  <c r="Z15" i="18"/>
  <c r="Z9" i="18"/>
  <c r="Z49" i="21"/>
  <c r="Z32" i="20"/>
  <c r="Z16" i="20" l="1"/>
  <c r="Z15" i="20"/>
  <c r="Z14" i="20"/>
  <c r="Z13" i="20"/>
  <c r="Z12" i="20"/>
  <c r="Z11" i="20"/>
  <c r="Z10" i="20"/>
  <c r="Z9" i="20"/>
  <c r="Z8" i="20"/>
  <c r="S23" i="6" l="1"/>
  <c r="P16" i="6"/>
  <c r="S15" i="6"/>
  <c r="AB32" i="3" l="1"/>
  <c r="AH30" i="13"/>
  <c r="S5" i="6"/>
  <c r="Z8" i="21"/>
  <c r="Z21" i="21" s="1"/>
  <c r="Y44" i="20"/>
  <c r="Y39" i="20"/>
  <c r="Z39" i="20"/>
  <c r="Y35" i="20"/>
  <c r="Z46" i="20"/>
  <c r="Y4" i="20"/>
  <c r="Z71" i="19"/>
  <c r="Y32" i="19"/>
  <c r="Z8" i="19"/>
  <c r="Z22" i="19" s="1"/>
  <c r="Y4" i="19"/>
  <c r="Z49" i="18"/>
  <c r="Z44" i="18"/>
  <c r="Y32" i="18"/>
  <c r="Y4" i="18"/>
  <c r="S30" i="6"/>
  <c r="S29" i="6"/>
  <c r="S25" i="6"/>
  <c r="S21" i="6"/>
  <c r="S14" i="6"/>
  <c r="S13" i="6"/>
  <c r="S12" i="6"/>
  <c r="S9" i="6"/>
  <c r="S11" i="6"/>
  <c r="S8" i="6"/>
  <c r="S7" i="6"/>
  <c r="S6" i="6"/>
  <c r="Y48" i="21"/>
  <c r="Y47" i="21"/>
  <c r="Y46" i="21"/>
  <c r="Y44" i="21"/>
  <c r="Y43" i="21"/>
  <c r="Y42" i="21"/>
  <c r="Y41" i="21"/>
  <c r="Y39" i="21"/>
  <c r="Y38" i="21"/>
  <c r="Y37" i="21"/>
  <c r="Y36" i="21"/>
  <c r="Y34" i="21"/>
  <c r="Y49" i="21" s="1"/>
  <c r="Y33" i="21"/>
  <c r="Y4" i="21"/>
  <c r="Z22" i="21"/>
  <c r="Z16" i="21"/>
  <c r="Z14" i="21"/>
  <c r="Z13" i="21"/>
  <c r="Z12" i="21"/>
  <c r="Z11" i="21"/>
  <c r="Z10" i="21"/>
  <c r="Z9" i="21"/>
  <c r="Y16" i="21"/>
  <c r="Y38" i="20"/>
  <c r="Y37" i="20"/>
  <c r="Y36" i="20"/>
  <c r="Y33" i="20"/>
  <c r="Y19" i="20"/>
  <c r="Z22" i="20"/>
  <c r="Z20" i="20"/>
  <c r="Z19" i="20"/>
  <c r="Z24" i="20"/>
  <c r="Z59" i="19"/>
  <c r="Z58" i="19"/>
  <c r="Z57" i="19"/>
  <c r="Z56" i="19"/>
  <c r="Z55" i="19"/>
  <c r="Z54" i="19"/>
  <c r="Z53" i="19"/>
  <c r="Y33" i="19"/>
  <c r="Y34" i="19"/>
  <c r="Y35" i="19"/>
  <c r="Y36" i="19"/>
  <c r="Y37" i="19"/>
  <c r="Y38" i="19"/>
  <c r="Y39" i="19"/>
  <c r="Y40" i="19"/>
  <c r="Y41" i="19"/>
  <c r="Y42" i="19"/>
  <c r="Y43" i="19"/>
  <c r="Y44" i="19"/>
  <c r="Y45" i="19"/>
  <c r="Y46" i="19"/>
  <c r="Y47" i="19"/>
  <c r="Y48" i="19"/>
  <c r="Y49" i="19"/>
  <c r="Z23" i="19"/>
  <c r="Z9" i="19"/>
  <c r="Z15" i="19"/>
  <c r="Z16" i="19"/>
  <c r="Z39" i="18"/>
  <c r="S16" i="6" l="1"/>
  <c r="S31" i="6"/>
  <c r="Z53" i="21"/>
  <c r="Z56" i="21"/>
  <c r="Z55" i="21"/>
  <c r="Z59" i="21"/>
  <c r="Z57" i="21"/>
  <c r="Z20" i="21"/>
  <c r="Z23" i="21"/>
  <c r="Z21" i="19"/>
  <c r="Z24" i="19"/>
  <c r="Z19" i="19"/>
  <c r="Z20" i="19"/>
  <c r="W72" i="19" l="1"/>
  <c r="V71" i="19"/>
  <c r="Y71" i="19"/>
  <c r="Y72" i="19" s="1"/>
  <c r="X71" i="19"/>
  <c r="W71" i="19"/>
  <c r="U71" i="19"/>
  <c r="Y65" i="19"/>
  <c r="Y66" i="19"/>
  <c r="Y67" i="19"/>
  <c r="Y68" i="19"/>
  <c r="Y69" i="19"/>
  <c r="Y70" i="19"/>
  <c r="Y39" i="18"/>
  <c r="Y38" i="18"/>
  <c r="Z37" i="18"/>
  <c r="Y36" i="18"/>
  <c r="Y35" i="18"/>
  <c r="Y34" i="18"/>
  <c r="Y33" i="18"/>
  <c r="Z49" i="19"/>
  <c r="Y48" i="18"/>
  <c r="Y47" i="18"/>
  <c r="Y46" i="18"/>
  <c r="Y45" i="18"/>
  <c r="Y44" i="18"/>
  <c r="Y49" i="18" s="1"/>
  <c r="AI4" i="4"/>
  <c r="AB4" i="15" l="1"/>
  <c r="L14" i="16"/>
  <c r="L24" i="16" s="1"/>
  <c r="K14" i="16"/>
  <c r="K24" i="16" s="1"/>
  <c r="J14" i="16"/>
  <c r="J24" i="16" s="1"/>
  <c r="I14" i="16"/>
  <c r="I24" i="16" s="1"/>
  <c r="H14" i="16"/>
  <c r="H24" i="16" s="1"/>
  <c r="G14" i="16"/>
  <c r="G24" i="16" s="1"/>
  <c r="AB19" i="3"/>
  <c r="AB31" i="3"/>
  <c r="AB5" i="3"/>
  <c r="AU47" i="22"/>
  <c r="AU36" i="22"/>
  <c r="AT14" i="22"/>
  <c r="AT11" i="22"/>
  <c r="AT6" i="22"/>
  <c r="AT4" i="22"/>
  <c r="AU11" i="22"/>
  <c r="AU55" i="2"/>
  <c r="AU47" i="2"/>
  <c r="AU44" i="2"/>
  <c r="AU33" i="2"/>
  <c r="AP7" i="2"/>
  <c r="AS7" i="2"/>
  <c r="AU7" i="2"/>
  <c r="AT7" i="2"/>
  <c r="AH49" i="13"/>
  <c r="AH8" i="13"/>
  <c r="AH21" i="13"/>
  <c r="AH20" i="13" s="1"/>
  <c r="AH18" i="13"/>
  <c r="AB4" i="3" l="1"/>
  <c r="Z8" i="18" l="1"/>
  <c r="Z23" i="18" s="1"/>
  <c r="Y24" i="18"/>
  <c r="Y23" i="18"/>
  <c r="Y22" i="18"/>
  <c r="Y21" i="18"/>
  <c r="Y20" i="18"/>
  <c r="Y19" i="18"/>
  <c r="X16" i="18"/>
  <c r="Y16" i="18"/>
  <c r="AT13" i="22"/>
  <c r="AT12" i="22"/>
  <c r="AT13" i="2"/>
  <c r="AT12" i="2"/>
  <c r="AJ77" i="4"/>
  <c r="AJ78" i="4"/>
  <c r="AJ79" i="4"/>
  <c r="AJ80" i="4"/>
  <c r="AJ81" i="4"/>
  <c r="AJ76" i="4"/>
  <c r="AI76" i="4"/>
  <c r="AI83" i="4" s="1"/>
  <c r="AJ65" i="4"/>
  <c r="AJ66" i="4"/>
  <c r="AJ67" i="4"/>
  <c r="AJ68" i="4"/>
  <c r="AJ69" i="4"/>
  <c r="AJ64" i="4"/>
  <c r="AI64" i="4"/>
  <c r="AI71" i="4" s="1"/>
  <c r="AJ55" i="4"/>
  <c r="AJ4" i="4"/>
  <c r="AJ16" i="4"/>
  <c r="AJ40" i="4"/>
  <c r="AI52" i="4"/>
  <c r="AJ54" i="4" s="1"/>
  <c r="AJ42" i="4"/>
  <c r="Z65" i="4"/>
  <c r="AJ7" i="4"/>
  <c r="AJ43" i="4"/>
  <c r="AJ6" i="4"/>
  <c r="AJ44" i="4"/>
  <c r="AJ45" i="4"/>
  <c r="AJ41" i="4"/>
  <c r="AH55" i="4"/>
  <c r="AH54" i="4"/>
  <c r="AH7" i="4"/>
  <c r="AH5" i="4"/>
  <c r="AI40" i="4"/>
  <c r="AI47" i="4"/>
  <c r="AI28" i="4"/>
  <c r="AI35" i="4" s="1"/>
  <c r="AI16" i="4"/>
  <c r="AI23" i="4" s="1"/>
  <c r="AI11" i="4"/>
  <c r="AJ5" i="4"/>
  <c r="AJ8" i="4"/>
  <c r="AF4" i="4"/>
  <c r="AJ28" i="4" l="1"/>
  <c r="AJ29" i="4"/>
  <c r="AJ31" i="4"/>
  <c r="Z24" i="18"/>
  <c r="Z19" i="18"/>
  <c r="Z20" i="18"/>
  <c r="Z21" i="18"/>
  <c r="Z22" i="18"/>
  <c r="AJ56" i="4"/>
  <c r="AI59" i="4"/>
  <c r="AJ52" i="4"/>
  <c r="AJ53" i="4"/>
  <c r="AJ17" i="4"/>
  <c r="AJ18" i="4"/>
  <c r="AJ19" i="4"/>
  <c r="AJ20" i="4"/>
  <c r="AJ21" i="4"/>
  <c r="AI8" i="4" l="1"/>
  <c r="AB51" i="15"/>
  <c r="AB36" i="15"/>
  <c r="AB20" i="15"/>
  <c r="AB5" i="15"/>
  <c r="AA5" i="15"/>
  <c r="AA4" i="15" s="1"/>
  <c r="AB51" i="3"/>
  <c r="AB43" i="3"/>
  <c r="K23" i="16"/>
  <c r="L23" i="16"/>
  <c r="M23" i="16"/>
  <c r="J23" i="16"/>
  <c r="F23" i="16"/>
  <c r="D23" i="16"/>
  <c r="AU38" i="2"/>
  <c r="AU36" i="2"/>
  <c r="AU35" i="2"/>
  <c r="AU34" i="2"/>
  <c r="AT11" i="2"/>
  <c r="AU11" i="2"/>
  <c r="AG30" i="13"/>
  <c r="AG19" i="13" s="1"/>
  <c r="AG26" i="13"/>
  <c r="AG27" i="13" s="1"/>
  <c r="AG18" i="13"/>
  <c r="AB35" i="15" l="1"/>
  <c r="AT30" i="22"/>
  <c r="AT29" i="22"/>
  <c r="AT26" i="22"/>
  <c r="AT25" i="22"/>
  <c r="AT19" i="22"/>
  <c r="AT20" i="22"/>
  <c r="AT21" i="22"/>
  <c r="AT22" i="22"/>
  <c r="AT23" i="22"/>
  <c r="AT18" i="22"/>
  <c r="AT16" i="22"/>
  <c r="AT17" i="22"/>
  <c r="AT15" i="22"/>
  <c r="AT9" i="22"/>
  <c r="AT10" i="22"/>
  <c r="AT8" i="22"/>
  <c r="AT7" i="22"/>
  <c r="AT5" i="22"/>
  <c r="AT37" i="2"/>
  <c r="AT33" i="2"/>
  <c r="AT30" i="2"/>
  <c r="AT29" i="2"/>
  <c r="AT26" i="2"/>
  <c r="AT25" i="2"/>
  <c r="AT23" i="2"/>
  <c r="AT22" i="2"/>
  <c r="AT21" i="2"/>
  <c r="AT20" i="2"/>
  <c r="AT19" i="2"/>
  <c r="AT18" i="2"/>
  <c r="AT17" i="2"/>
  <c r="AT16" i="2"/>
  <c r="AT14" i="2"/>
  <c r="AT15" i="2"/>
  <c r="AT38" i="2" s="1"/>
  <c r="AT10" i="2"/>
  <c r="AT36" i="2" s="1"/>
  <c r="AT9" i="2"/>
  <c r="AT35" i="2" s="1"/>
  <c r="AT8" i="2"/>
  <c r="AT34" i="2" s="1"/>
  <c r="AT6" i="2"/>
  <c r="AH28" i="13" s="1"/>
  <c r="AH29" i="13" s="1"/>
  <c r="AT5" i="2"/>
  <c r="AT4" i="2"/>
  <c r="AH26" i="13" s="1"/>
  <c r="AH27" i="13" s="1"/>
  <c r="AH22" i="13" s="1"/>
  <c r="AH47" i="13"/>
  <c r="AH46" i="13"/>
  <c r="AH45" i="13"/>
  <c r="AH44" i="13"/>
  <c r="AH43" i="13"/>
  <c r="AG22" i="13"/>
  <c r="AG28" i="13"/>
  <c r="AG29" i="13" s="1"/>
  <c r="AG21" i="13" l="1"/>
  <c r="AG23" i="13"/>
  <c r="AG20" i="13"/>
  <c r="AH23" i="13"/>
  <c r="Y25" i="21"/>
  <c r="Y24" i="21"/>
  <c r="Y23" i="21"/>
  <c r="Y22" i="21"/>
  <c r="Y21" i="21"/>
  <c r="Y20" i="21"/>
  <c r="Z15" i="21"/>
  <c r="Y46" i="20"/>
  <c r="Z34" i="20"/>
  <c r="Z23" i="20"/>
  <c r="Z21" i="20"/>
  <c r="Y23" i="20"/>
  <c r="Y22" i="20"/>
  <c r="Y21" i="20"/>
  <c r="Y20" i="20"/>
  <c r="Y24" i="20"/>
  <c r="Y64" i="19"/>
  <c r="Y59" i="19"/>
  <c r="Y23" i="19"/>
  <c r="Y22" i="19"/>
  <c r="Y21" i="19"/>
  <c r="Y20" i="19"/>
  <c r="Y10" i="18"/>
  <c r="Z64" i="21" l="1"/>
  <c r="Z54" i="21"/>
  <c r="Y55" i="21"/>
  <c r="Z65" i="21"/>
  <c r="Z66" i="21"/>
  <c r="Z58" i="21"/>
  <c r="Z60" i="21"/>
  <c r="Z61" i="21"/>
  <c r="Z62" i="21"/>
  <c r="Z25" i="21"/>
  <c r="Z24" i="21"/>
  <c r="Y53" i="19"/>
  <c r="Y54" i="19"/>
  <c r="Y55" i="19"/>
  <c r="Y56" i="19"/>
  <c r="Y57" i="19"/>
  <c r="Y58" i="19"/>
  <c r="Y16" i="19"/>
  <c r="Y19" i="19"/>
  <c r="Z72" i="19"/>
  <c r="Z16" i="18"/>
  <c r="Y64" i="21" l="1"/>
  <c r="Y57" i="21"/>
  <c r="Y58" i="21"/>
  <c r="Y56" i="21"/>
  <c r="Y62" i="21"/>
  <c r="Y54" i="21"/>
  <c r="Y53" i="21"/>
  <c r="Y61" i="21"/>
  <c r="Y66" i="21"/>
  <c r="Y60" i="21"/>
  <c r="Y65" i="21"/>
  <c r="Y59" i="21"/>
  <c r="Y24" i="19"/>
  <c r="AN26" i="22"/>
  <c r="AN25" i="22"/>
  <c r="AN23" i="22"/>
  <c r="AN22" i="22"/>
  <c r="AN21" i="22"/>
  <c r="AN20" i="22"/>
  <c r="AN19" i="22"/>
  <c r="AN18" i="22"/>
  <c r="AN17" i="22"/>
  <c r="AN16" i="22"/>
  <c r="AN15" i="22"/>
  <c r="AN14" i="22"/>
  <c r="AN11" i="22"/>
  <c r="AN10" i="22"/>
  <c r="AN9" i="22"/>
  <c r="AN8" i="22"/>
  <c r="AN7" i="22"/>
  <c r="AN6" i="22"/>
  <c r="AN4" i="22"/>
  <c r="AN38" i="2"/>
  <c r="AN37" i="2"/>
  <c r="AN36" i="2"/>
  <c r="AN35" i="2"/>
  <c r="AN34" i="2"/>
  <c r="AN33" i="2"/>
  <c r="AU37" i="2"/>
  <c r="AN26" i="2"/>
  <c r="AN25" i="2"/>
  <c r="AN23" i="2"/>
  <c r="AN22" i="2"/>
  <c r="AN21" i="2"/>
  <c r="AN20" i="2"/>
  <c r="AN19" i="2"/>
  <c r="AN18" i="2"/>
  <c r="AN17" i="2"/>
  <c r="AN16" i="2"/>
  <c r="AN15" i="2"/>
  <c r="AN14" i="2"/>
  <c r="AN13" i="2"/>
  <c r="AN12" i="2"/>
  <c r="AN11" i="2"/>
  <c r="AN10" i="2"/>
  <c r="AN9" i="2"/>
  <c r="AN8" i="2"/>
  <c r="AN7" i="2"/>
  <c r="AN6" i="2"/>
  <c r="AN5" i="2"/>
  <c r="AN4" i="2"/>
  <c r="AD49" i="13"/>
  <c r="AC5" i="13"/>
  <c r="AG17" i="13"/>
  <c r="AE17" i="13"/>
  <c r="AD17" i="13"/>
  <c r="AC17" i="13"/>
  <c r="AB17" i="13"/>
  <c r="AK64" i="4" l="1"/>
  <c r="AH78" i="4"/>
  <c r="AH79" i="4"/>
  <c r="AH80" i="4"/>
  <c r="AH81" i="4"/>
  <c r="AH77" i="4"/>
  <c r="AH76" i="4"/>
  <c r="AH66" i="4"/>
  <c r="AH67" i="4"/>
  <c r="AH68" i="4"/>
  <c r="AH69" i="4"/>
  <c r="AH65" i="4"/>
  <c r="AH64" i="4"/>
  <c r="AH56" i="4"/>
  <c r="AH57" i="4"/>
  <c r="AH53" i="4"/>
  <c r="AH52" i="4"/>
  <c r="AH42" i="4"/>
  <c r="AH43" i="4"/>
  <c r="AH44" i="4"/>
  <c r="AH45" i="4"/>
  <c r="AH41" i="4"/>
  <c r="AH40" i="4"/>
  <c r="AG4" i="4"/>
  <c r="AE16" i="13"/>
  <c r="AD16" i="13"/>
  <c r="AC16" i="13"/>
  <c r="AG16" i="13"/>
  <c r="AB16" i="13"/>
  <c r="AE28" i="13" l="1"/>
  <c r="AE29" i="13" s="1"/>
  <c r="AD28" i="13"/>
  <c r="AD29" i="13" s="1"/>
  <c r="AC28" i="13"/>
  <c r="AC29" i="13" s="1"/>
  <c r="AC23" i="13" s="1"/>
  <c r="AB28" i="13"/>
  <c r="AB29" i="13" s="1"/>
  <c r="AB21" i="13" s="1"/>
  <c r="AE26" i="13"/>
  <c r="AE27" i="13" s="1"/>
  <c r="AE22" i="13" s="1"/>
  <c r="AD26" i="13"/>
  <c r="AD27" i="13" s="1"/>
  <c r="AD22" i="13" s="1"/>
  <c r="AC26" i="13"/>
  <c r="AC27" i="13" s="1"/>
  <c r="AC22" i="13" s="1"/>
  <c r="AB26" i="13"/>
  <c r="AB27" i="13" s="1"/>
  <c r="AB22" i="13" s="1"/>
  <c r="AE21" i="13" l="1"/>
  <c r="AE23" i="13"/>
  <c r="AB23" i="13"/>
  <c r="AB20" i="13" s="1"/>
  <c r="AD21" i="13"/>
  <c r="AD23" i="13"/>
  <c r="AC21" i="13"/>
  <c r="AC20" i="13" s="1"/>
  <c r="AG4" i="13"/>
  <c r="AE20" i="13" l="1"/>
  <c r="AD20" i="13"/>
  <c r="X13" i="21"/>
  <c r="X12" i="21"/>
  <c r="X11" i="21"/>
  <c r="X10" i="21"/>
  <c r="X9" i="21"/>
  <c r="X8" i="21"/>
  <c r="X4" i="21"/>
  <c r="X13" i="20"/>
  <c r="X12" i="20"/>
  <c r="X11" i="20"/>
  <c r="X9" i="20"/>
  <c r="X10" i="20" s="1"/>
  <c r="X8" i="20"/>
  <c r="X4" i="20"/>
  <c r="X13" i="19"/>
  <c r="X12" i="19"/>
  <c r="X11" i="19"/>
  <c r="X9" i="19"/>
  <c r="X10" i="19" s="1"/>
  <c r="X4" i="19"/>
  <c r="X8" i="19"/>
  <c r="X13" i="18"/>
  <c r="X12" i="18"/>
  <c r="X11" i="18"/>
  <c r="X10" i="18"/>
  <c r="X9" i="18"/>
  <c r="X8" i="18"/>
  <c r="X4" i="18"/>
  <c r="AG11" i="4"/>
  <c r="AG22" i="4"/>
  <c r="AG21" i="4"/>
  <c r="AG20" i="4"/>
  <c r="AG19" i="4"/>
  <c r="AG18" i="4"/>
  <c r="AG17" i="4"/>
  <c r="AG76" i="4"/>
  <c r="AG83" i="4" s="1"/>
  <c r="AG64" i="4"/>
  <c r="AG71" i="4" s="1"/>
  <c r="AG52" i="4"/>
  <c r="AG59" i="4" s="1"/>
  <c r="AG40" i="4"/>
  <c r="AG47" i="4" s="1"/>
  <c r="AG23" i="4" s="1"/>
  <c r="X16" i="21" l="1"/>
  <c r="T71" i="19"/>
  <c r="S71" i="19"/>
  <c r="R71" i="19"/>
  <c r="Q71" i="19"/>
  <c r="P71" i="19"/>
  <c r="O71" i="19"/>
  <c r="N71" i="19"/>
  <c r="M71" i="19"/>
  <c r="L71" i="19"/>
  <c r="K71" i="19"/>
  <c r="J71" i="19"/>
  <c r="I71" i="19"/>
  <c r="H71" i="19"/>
  <c r="G71" i="19"/>
  <c r="F71" i="19"/>
  <c r="E71" i="19"/>
  <c r="D71" i="19"/>
  <c r="C71" i="19"/>
  <c r="Z15" i="28"/>
  <c r="AB15" i="28"/>
  <c r="Z14" i="28"/>
  <c r="AA14" i="28"/>
  <c r="AS53" i="2"/>
  <c r="AH9" i="4" l="1"/>
  <c r="AH8" i="4"/>
  <c r="AH6" i="4"/>
  <c r="AA51" i="15"/>
  <c r="AA36" i="15"/>
  <c r="AA20" i="15"/>
  <c r="AG10" i="13"/>
  <c r="AH10" i="13" s="1"/>
  <c r="AH11" i="13" s="1"/>
  <c r="AG5" i="13"/>
  <c r="AS18" i="22"/>
  <c r="AS7" i="22"/>
  <c r="AS15" i="22" s="1"/>
  <c r="AS20" i="22" s="1"/>
  <c r="AS23" i="22" s="1"/>
  <c r="AS26" i="22" s="1"/>
  <c r="AS33" i="2"/>
  <c r="AG7" i="13" s="1"/>
  <c r="AS37" i="2"/>
  <c r="AS36" i="2"/>
  <c r="AS35" i="2"/>
  <c r="AS34" i="2"/>
  <c r="AS18" i="2"/>
  <c r="Q14" i="6"/>
  <c r="Q15" i="6"/>
  <c r="L15" i="6"/>
  <c r="G15" i="6"/>
  <c r="X49" i="19"/>
  <c r="AG11" i="13" l="1"/>
  <c r="AH4" i="4"/>
  <c r="AG6" i="13"/>
  <c r="AH6" i="13" s="1"/>
  <c r="AH7" i="13" s="1"/>
  <c r="AG8" i="13"/>
  <c r="AH9" i="13" s="1"/>
  <c r="AA35" i="15"/>
  <c r="AS15" i="2"/>
  <c r="AG9" i="13" l="1"/>
  <c r="AS38" i="2"/>
  <c r="AS20" i="2"/>
  <c r="AS23" i="2" s="1"/>
  <c r="AS26" i="2" s="1"/>
  <c r="AG49" i="13"/>
  <c r="R31" i="6"/>
  <c r="R16" i="6"/>
  <c r="X49" i="21"/>
  <c r="X64" i="21" s="1"/>
  <c r="X66" i="21"/>
  <c r="X65" i="21"/>
  <c r="X62" i="21"/>
  <c r="X61" i="21"/>
  <c r="X58" i="21"/>
  <c r="X57" i="21"/>
  <c r="X56" i="21"/>
  <c r="X54" i="21"/>
  <c r="X53" i="21"/>
  <c r="X25" i="21"/>
  <c r="X24" i="21"/>
  <c r="X23" i="21"/>
  <c r="X22" i="21"/>
  <c r="X21" i="21"/>
  <c r="X20" i="21"/>
  <c r="X45" i="20"/>
  <c r="X46" i="20"/>
  <c r="X39" i="20"/>
  <c r="X23" i="20"/>
  <c r="X22" i="20"/>
  <c r="X21" i="20"/>
  <c r="X20" i="20"/>
  <c r="X16" i="20"/>
  <c r="X24" i="20" s="1"/>
  <c r="X72" i="19"/>
  <c r="X59" i="19"/>
  <c r="X58" i="19"/>
  <c r="X23" i="19"/>
  <c r="X22" i="19"/>
  <c r="X21" i="19"/>
  <c r="X20" i="19"/>
  <c r="X16" i="19"/>
  <c r="X24" i="19" s="1"/>
  <c r="X48" i="18"/>
  <c r="X49" i="18"/>
  <c r="X44" i="18"/>
  <c r="X39" i="18"/>
  <c r="X23" i="18"/>
  <c r="X22" i="18"/>
  <c r="X21" i="18"/>
  <c r="X20" i="18"/>
  <c r="X24" i="18"/>
  <c r="X19" i="19" l="1"/>
  <c r="X59" i="21"/>
  <c r="X60" i="21"/>
  <c r="X55" i="21"/>
  <c r="X19" i="20"/>
  <c r="X53" i="19"/>
  <c r="X54" i="19"/>
  <c r="X55" i="19"/>
  <c r="X56" i="19"/>
  <c r="X57" i="19"/>
  <c r="X19" i="18"/>
  <c r="P38" i="20" l="1"/>
  <c r="AQ37" i="2"/>
  <c r="F51" i="14" l="1"/>
  <c r="Q13" i="6" l="1"/>
  <c r="Q12" i="6"/>
  <c r="Q11" i="6"/>
  <c r="Q9" i="6"/>
  <c r="Q8" i="6"/>
  <c r="Q7" i="6"/>
  <c r="Q6" i="6"/>
  <c r="Q5" i="6"/>
  <c r="I46" i="20"/>
  <c r="Q16" i="6" l="1"/>
  <c r="P45" i="20"/>
  <c r="S44" i="18"/>
  <c r="V9" i="21" l="1"/>
  <c r="V10" i="21"/>
  <c r="V11" i="21"/>
  <c r="V12" i="21"/>
  <c r="V13" i="21"/>
  <c r="V14" i="21"/>
  <c r="V16" i="21"/>
  <c r="AF5" i="13" l="1"/>
  <c r="AE8" i="13" l="1"/>
  <c r="AE9" i="13" s="1"/>
  <c r="AF9" i="13"/>
  <c r="AQ13" i="22"/>
  <c r="AQ12" i="22"/>
  <c r="P25" i="6" l="1"/>
  <c r="P31" i="6" s="1"/>
  <c r="Q30" i="6"/>
  <c r="Q29" i="6"/>
  <c r="Q23" i="6"/>
  <c r="Q21" i="6"/>
  <c r="Q31" i="6" l="1"/>
  <c r="L21" i="6" l="1"/>
  <c r="G21" i="6"/>
  <c r="AF7" i="13" l="1"/>
  <c r="AF11" i="13"/>
  <c r="AC17" i="4" l="1"/>
  <c r="AC18" i="4"/>
  <c r="AC19" i="4"/>
  <c r="AC20" i="4"/>
  <c r="AC21" i="4"/>
  <c r="AC22" i="4"/>
  <c r="AC23" i="4"/>
  <c r="AC16" i="4"/>
  <c r="AD17" i="4" s="1"/>
  <c r="AC35" i="4"/>
  <c r="AC34" i="4"/>
  <c r="AC32" i="4"/>
  <c r="AC30" i="4"/>
  <c r="AC29" i="4"/>
  <c r="AC31" i="4"/>
  <c r="AC33" i="4"/>
  <c r="AC28" i="4"/>
  <c r="AF29" i="4"/>
  <c r="AF30" i="4"/>
  <c r="AF31" i="4"/>
  <c r="AF32" i="4"/>
  <c r="AF33" i="4"/>
  <c r="AF28" i="4"/>
  <c r="AC59" i="4"/>
  <c r="AC47" i="4"/>
  <c r="AC46" i="4"/>
  <c r="AC45" i="4"/>
  <c r="AC43" i="4"/>
  <c r="AC42" i="4"/>
  <c r="AC41" i="4"/>
  <c r="AC44" i="4"/>
  <c r="AC40" i="4"/>
  <c r="AD43" i="4" s="1"/>
  <c r="AF41" i="4"/>
  <c r="AF42" i="4"/>
  <c r="AF43" i="4"/>
  <c r="AF44" i="4"/>
  <c r="AF45" i="4"/>
  <c r="AF40" i="4"/>
  <c r="AC56" i="4"/>
  <c r="AC55" i="4"/>
  <c r="AC54" i="4"/>
  <c r="AC53" i="4"/>
  <c r="AC52" i="4"/>
  <c r="AD56" i="4" s="1"/>
  <c r="AF53" i="4"/>
  <c r="AF54" i="4"/>
  <c r="AF55" i="4"/>
  <c r="AF56" i="4"/>
  <c r="AF52" i="4"/>
  <c r="AF65" i="4"/>
  <c r="AF66" i="4"/>
  <c r="AF67" i="4"/>
  <c r="AF68" i="4"/>
  <c r="AF69" i="4"/>
  <c r="AF64" i="4"/>
  <c r="AF77" i="4"/>
  <c r="AF78" i="4"/>
  <c r="AF79" i="4"/>
  <c r="AF80" i="4"/>
  <c r="AF81" i="4"/>
  <c r="AF76" i="4"/>
  <c r="AC71" i="4"/>
  <c r="AC69" i="4"/>
  <c r="AC66" i="4"/>
  <c r="AD66" i="4" s="1"/>
  <c r="AC65" i="4"/>
  <c r="AD65" i="4" s="1"/>
  <c r="AC67" i="4"/>
  <c r="AC68" i="4"/>
  <c r="AC70" i="4"/>
  <c r="AC64" i="4"/>
  <c r="AD64" i="4" s="1"/>
  <c r="AC83" i="4"/>
  <c r="AC82" i="4"/>
  <c r="AC81" i="4"/>
  <c r="AC80" i="4"/>
  <c r="AC79" i="4"/>
  <c r="AC78" i="4"/>
  <c r="AC77" i="4"/>
  <c r="AC76" i="4"/>
  <c r="AD76" i="4" s="1"/>
  <c r="AC11" i="4"/>
  <c r="AC10" i="4"/>
  <c r="AC9" i="4"/>
  <c r="AC8" i="4"/>
  <c r="AC7" i="4"/>
  <c r="AC6" i="4"/>
  <c r="AC5" i="4"/>
  <c r="AC4" i="4"/>
  <c r="AD80" i="4" l="1"/>
  <c r="AD79" i="4"/>
  <c r="AD78" i="4"/>
  <c r="AD77" i="4"/>
  <c r="AD81" i="4"/>
  <c r="AD67" i="4"/>
  <c r="AD68" i="4"/>
  <c r="AD69" i="4"/>
  <c r="AD52" i="4"/>
  <c r="AD41" i="4"/>
  <c r="AD40" i="4"/>
  <c r="AD42" i="4"/>
  <c r="AD29" i="4"/>
  <c r="AD16" i="4"/>
  <c r="AD21" i="4"/>
  <c r="AD20" i="4"/>
  <c r="AD19" i="4"/>
  <c r="AD18" i="4"/>
  <c r="AD28" i="4"/>
  <c r="AD33" i="4"/>
  <c r="AD32" i="4"/>
  <c r="AD30" i="4"/>
  <c r="AD31" i="4"/>
  <c r="AD45" i="4"/>
  <c r="AD44" i="4"/>
  <c r="AD53" i="4"/>
  <c r="AD55" i="4"/>
  <c r="AD54" i="4"/>
  <c r="AF17" i="4" l="1"/>
  <c r="AF18" i="4"/>
  <c r="AF19" i="4"/>
  <c r="AF20" i="4"/>
  <c r="AF21" i="4"/>
  <c r="AF16" i="4"/>
  <c r="W62" i="21" l="1"/>
  <c r="W55" i="21"/>
  <c r="V58" i="21"/>
  <c r="W66" i="21"/>
  <c r="W65" i="21"/>
  <c r="W64" i="21"/>
  <c r="W61" i="21"/>
  <c r="W60" i="21"/>
  <c r="W59" i="21"/>
  <c r="W58" i="21"/>
  <c r="W57" i="21"/>
  <c r="W56" i="21"/>
  <c r="W54" i="21"/>
  <c r="W53" i="21"/>
  <c r="V66" i="21"/>
  <c r="V65" i="21"/>
  <c r="V64" i="21"/>
  <c r="V62" i="21"/>
  <c r="V61" i="21"/>
  <c r="V60" i="21"/>
  <c r="V59" i="21"/>
  <c r="V57" i="21"/>
  <c r="V56" i="21"/>
  <c r="V55" i="21"/>
  <c r="V54" i="21"/>
  <c r="V53" i="21"/>
  <c r="V49" i="21"/>
  <c r="V34" i="21"/>
  <c r="V36" i="21"/>
  <c r="V37" i="21"/>
  <c r="V38" i="21"/>
  <c r="V39" i="21"/>
  <c r="V41" i="21"/>
  <c r="V42" i="21"/>
  <c r="V43" i="21"/>
  <c r="V44" i="21"/>
  <c r="V46" i="21"/>
  <c r="V47" i="21"/>
  <c r="V48" i="21"/>
  <c r="V33" i="21"/>
  <c r="W25" i="21"/>
  <c r="W24" i="21"/>
  <c r="W23" i="21"/>
  <c r="W22" i="21"/>
  <c r="W21" i="21"/>
  <c r="W20" i="21"/>
  <c r="V24" i="21"/>
  <c r="V8" i="21"/>
  <c r="V23" i="21" s="1"/>
  <c r="W45" i="20"/>
  <c r="V44" i="20"/>
  <c r="W24" i="20"/>
  <c r="W23" i="20"/>
  <c r="W22" i="20"/>
  <c r="W21" i="20"/>
  <c r="W20" i="20"/>
  <c r="W19" i="20"/>
  <c r="V4" i="21"/>
  <c r="V69" i="19"/>
  <c r="V68" i="19"/>
  <c r="V70" i="19"/>
  <c r="V66" i="19"/>
  <c r="V67" i="19"/>
  <c r="V65" i="19"/>
  <c r="V64" i="19"/>
  <c r="V45" i="20" l="1"/>
  <c r="V25" i="21"/>
  <c r="V20" i="21"/>
  <c r="V21" i="21"/>
  <c r="V22" i="21"/>
  <c r="V33" i="19"/>
  <c r="V34" i="19"/>
  <c r="V35" i="19"/>
  <c r="V36" i="19"/>
  <c r="V37" i="19"/>
  <c r="V39" i="19"/>
  <c r="V41" i="19"/>
  <c r="V43" i="19"/>
  <c r="V45" i="19"/>
  <c r="V47" i="19"/>
  <c r="W23" i="19"/>
  <c r="W24" i="19"/>
  <c r="W22" i="19"/>
  <c r="W21" i="19"/>
  <c r="W20" i="19"/>
  <c r="W19" i="19"/>
  <c r="V49" i="18"/>
  <c r="V48" i="18"/>
  <c r="V47" i="18"/>
  <c r="V46" i="18"/>
  <c r="V45" i="18"/>
  <c r="W24" i="18"/>
  <c r="W23" i="18"/>
  <c r="W22" i="18"/>
  <c r="W21" i="18"/>
  <c r="W20" i="18"/>
  <c r="W19" i="18"/>
  <c r="AD8" i="4"/>
  <c r="AD7" i="4"/>
  <c r="AD6" i="4"/>
  <c r="AF5" i="4"/>
  <c r="AF6" i="4"/>
  <c r="AF7" i="4"/>
  <c r="AF8" i="4"/>
  <c r="AF9" i="4"/>
  <c r="AD9" i="4" l="1"/>
  <c r="AD5" i="4"/>
  <c r="AD4" i="4" l="1"/>
  <c r="D46" i="20" l="1"/>
  <c r="F46" i="20"/>
  <c r="H46" i="20"/>
  <c r="C46" i="20"/>
  <c r="E44" i="20"/>
  <c r="G44" i="20" s="1"/>
  <c r="G46" i="20" s="1"/>
  <c r="M49" i="19"/>
  <c r="K49" i="19"/>
  <c r="H49" i="19"/>
  <c r="V33" i="4"/>
  <c r="V32" i="4"/>
  <c r="V31" i="4"/>
  <c r="V30" i="4"/>
  <c r="V29" i="4"/>
  <c r="V28" i="4"/>
  <c r="U33" i="4"/>
  <c r="P9" i="4"/>
  <c r="J77" i="4"/>
  <c r="J78" i="4"/>
  <c r="J79" i="4"/>
  <c r="J80" i="4"/>
  <c r="J81" i="4"/>
  <c r="H77" i="4"/>
  <c r="H78" i="4"/>
  <c r="H79" i="4"/>
  <c r="H80" i="4"/>
  <c r="H81" i="4"/>
  <c r="F77" i="4"/>
  <c r="F78" i="4"/>
  <c r="F79" i="4"/>
  <c r="F80" i="4"/>
  <c r="F81" i="4"/>
  <c r="D77" i="4"/>
  <c r="D78" i="4"/>
  <c r="D79" i="4"/>
  <c r="D80" i="4"/>
  <c r="D81" i="4"/>
  <c r="J76" i="4"/>
  <c r="H76" i="4"/>
  <c r="F76" i="4"/>
  <c r="D76" i="4"/>
  <c r="T77" i="4"/>
  <c r="T78" i="4"/>
  <c r="T79" i="4"/>
  <c r="T80" i="4"/>
  <c r="T81" i="4"/>
  <c r="R77" i="4"/>
  <c r="R78" i="4"/>
  <c r="R79" i="4"/>
  <c r="R80" i="4"/>
  <c r="R81" i="4"/>
  <c r="P77" i="4"/>
  <c r="P78" i="4"/>
  <c r="P79" i="4"/>
  <c r="P80" i="4"/>
  <c r="P81" i="4"/>
  <c r="N77" i="4"/>
  <c r="N78" i="4"/>
  <c r="N79" i="4"/>
  <c r="N80" i="4"/>
  <c r="N81" i="4"/>
  <c r="T76" i="4"/>
  <c r="R76" i="4"/>
  <c r="P76" i="4"/>
  <c r="N76" i="4"/>
  <c r="V77" i="4"/>
  <c r="V78" i="4"/>
  <c r="V79" i="4"/>
  <c r="V80" i="4"/>
  <c r="V81" i="4"/>
  <c r="L77" i="4"/>
  <c r="L78" i="4"/>
  <c r="L79" i="4"/>
  <c r="L80" i="4"/>
  <c r="L81" i="4"/>
  <c r="L76" i="4"/>
  <c r="V76" i="4"/>
  <c r="V65" i="4"/>
  <c r="V66" i="4"/>
  <c r="V67" i="4"/>
  <c r="V68" i="4"/>
  <c r="V69" i="4"/>
  <c r="V64" i="4"/>
  <c r="T65" i="4"/>
  <c r="T66" i="4"/>
  <c r="T67" i="4"/>
  <c r="T68" i="4"/>
  <c r="T69" i="4"/>
  <c r="R65" i="4"/>
  <c r="R66" i="4"/>
  <c r="R67" i="4"/>
  <c r="R68" i="4"/>
  <c r="R69" i="4"/>
  <c r="P65" i="4"/>
  <c r="P66" i="4"/>
  <c r="P67" i="4"/>
  <c r="P68" i="4"/>
  <c r="P69" i="4"/>
  <c r="T64" i="4"/>
  <c r="R64" i="4"/>
  <c r="P64" i="4"/>
  <c r="N65" i="4"/>
  <c r="N66" i="4"/>
  <c r="N67" i="4"/>
  <c r="N68" i="4"/>
  <c r="N69" i="4"/>
  <c r="N64" i="4"/>
  <c r="L69" i="4"/>
  <c r="L68" i="4"/>
  <c r="L67" i="4"/>
  <c r="L66" i="4"/>
  <c r="L65" i="4"/>
  <c r="L64" i="4"/>
  <c r="J69" i="4"/>
  <c r="J68" i="4"/>
  <c r="J67" i="4"/>
  <c r="J66" i="4"/>
  <c r="J65" i="4"/>
  <c r="H69" i="4"/>
  <c r="H67" i="4"/>
  <c r="H66" i="4"/>
  <c r="H65" i="4"/>
  <c r="F69" i="4"/>
  <c r="F68" i="4"/>
  <c r="F67" i="4"/>
  <c r="F66" i="4"/>
  <c r="F65" i="4"/>
  <c r="D69" i="4"/>
  <c r="D68" i="4"/>
  <c r="D67" i="4"/>
  <c r="D66" i="4"/>
  <c r="D65" i="4"/>
  <c r="H68" i="4"/>
  <c r="J64" i="4"/>
  <c r="H64" i="4"/>
  <c r="F64" i="4"/>
  <c r="D64" i="4"/>
  <c r="E46" i="20" l="1"/>
  <c r="L53" i="4"/>
  <c r="L54" i="4"/>
  <c r="L55" i="4"/>
  <c r="L56" i="4"/>
  <c r="L52" i="4"/>
  <c r="T53" i="4"/>
  <c r="T54" i="4"/>
  <c r="T55" i="4"/>
  <c r="T56" i="4"/>
  <c r="T52" i="4"/>
  <c r="V53" i="4"/>
  <c r="V54" i="4"/>
  <c r="V55" i="4"/>
  <c r="V56" i="4"/>
  <c r="V52" i="4"/>
  <c r="J53" i="4"/>
  <c r="J54" i="4"/>
  <c r="J55" i="4"/>
  <c r="J56" i="4"/>
  <c r="J52" i="4"/>
  <c r="H53" i="4"/>
  <c r="H54" i="4"/>
  <c r="H55" i="4"/>
  <c r="H56" i="4"/>
  <c r="H52" i="4"/>
  <c r="H57" i="4" s="1"/>
  <c r="F53" i="4"/>
  <c r="F54" i="4"/>
  <c r="F55" i="4"/>
  <c r="F56" i="4"/>
  <c r="F52" i="4"/>
  <c r="F57" i="4" s="1"/>
  <c r="R57" i="4"/>
  <c r="P57" i="4"/>
  <c r="N57" i="4"/>
  <c r="D57" i="4"/>
  <c r="D56" i="4"/>
  <c r="D53" i="4"/>
  <c r="D54" i="4"/>
  <c r="D55" i="4"/>
  <c r="D52" i="4"/>
  <c r="U83" i="4"/>
  <c r="S82" i="4"/>
  <c r="U82" i="4" s="1"/>
  <c r="S81" i="4"/>
  <c r="U81" i="4" s="1"/>
  <c r="U76" i="4"/>
  <c r="U71" i="4"/>
  <c r="S70" i="4"/>
  <c r="U70" i="4" s="1"/>
  <c r="S69" i="4"/>
  <c r="U69" i="4" s="1"/>
  <c r="U64" i="4"/>
  <c r="U59" i="4"/>
  <c r="U58" i="4" s="1"/>
  <c r="S57" i="4"/>
  <c r="U52" i="4"/>
  <c r="U57" i="4" s="1"/>
  <c r="V57" i="4" s="1"/>
  <c r="K58" i="4"/>
  <c r="K57" i="4"/>
  <c r="K82" i="4"/>
  <c r="K81" i="4"/>
  <c r="K70" i="4"/>
  <c r="K69" i="4"/>
  <c r="I57" i="4"/>
  <c r="C58" i="4"/>
  <c r="I82" i="4"/>
  <c r="G82" i="4"/>
  <c r="E82" i="4"/>
  <c r="C82" i="4"/>
  <c r="I81" i="4"/>
  <c r="G81" i="4"/>
  <c r="E81" i="4"/>
  <c r="C81" i="4"/>
  <c r="I70" i="4"/>
  <c r="G70" i="4"/>
  <c r="E70" i="4"/>
  <c r="C70" i="4"/>
  <c r="I69" i="4"/>
  <c r="G69" i="4"/>
  <c r="E69" i="4"/>
  <c r="C69" i="4"/>
  <c r="E58" i="4"/>
  <c r="G57" i="4"/>
  <c r="E57" i="4"/>
  <c r="C57" i="4"/>
  <c r="L41" i="4"/>
  <c r="L42" i="4"/>
  <c r="L43" i="4"/>
  <c r="L44" i="4"/>
  <c r="L45" i="4"/>
  <c r="L40" i="4"/>
  <c r="T57" i="4" l="1"/>
  <c r="J57" i="4"/>
  <c r="S48" i="19" l="1"/>
  <c r="U48" i="19" s="1"/>
  <c r="V48" i="19" s="1"/>
  <c r="L48" i="19"/>
  <c r="N48" i="19" s="1"/>
  <c r="P48" i="19" s="1"/>
  <c r="E48" i="19"/>
  <c r="G48" i="19" s="1"/>
  <c r="T47" i="19"/>
  <c r="R47" i="19"/>
  <c r="O47" i="19"/>
  <c r="M47" i="19"/>
  <c r="K47" i="19"/>
  <c r="H47" i="19"/>
  <c r="F47" i="19"/>
  <c r="D47" i="19"/>
  <c r="S46" i="19"/>
  <c r="U46" i="19" s="1"/>
  <c r="V46" i="19" s="1"/>
  <c r="L46" i="19"/>
  <c r="N46" i="19" s="1"/>
  <c r="P46" i="19" s="1"/>
  <c r="E46" i="19"/>
  <c r="G46" i="19" s="1"/>
  <c r="I46" i="19" s="1"/>
  <c r="T45" i="19"/>
  <c r="R45" i="19"/>
  <c r="O45" i="19"/>
  <c r="M45" i="19"/>
  <c r="K45" i="19"/>
  <c r="H45" i="19"/>
  <c r="F45" i="19"/>
  <c r="D45" i="19"/>
  <c r="S44" i="19"/>
  <c r="U44" i="19" s="1"/>
  <c r="V44" i="19" s="1"/>
  <c r="L44" i="19"/>
  <c r="N44" i="19" s="1"/>
  <c r="P44" i="19" s="1"/>
  <c r="E44" i="19"/>
  <c r="G44" i="19" s="1"/>
  <c r="I44" i="19" s="1"/>
  <c r="T43" i="19"/>
  <c r="R43" i="19"/>
  <c r="O43" i="19"/>
  <c r="M43" i="19"/>
  <c r="K43" i="19"/>
  <c r="H43" i="19"/>
  <c r="F43" i="19"/>
  <c r="D43" i="19"/>
  <c r="S42" i="19"/>
  <c r="U42" i="19" s="1"/>
  <c r="V42" i="19" s="1"/>
  <c r="L42" i="19"/>
  <c r="N42" i="19" s="1"/>
  <c r="P42" i="19" s="1"/>
  <c r="E42" i="19"/>
  <c r="G42" i="19" s="1"/>
  <c r="I42" i="19" s="1"/>
  <c r="T41" i="19"/>
  <c r="R41" i="19"/>
  <c r="O41" i="19"/>
  <c r="M41" i="19"/>
  <c r="K41" i="19"/>
  <c r="H41" i="19"/>
  <c r="F41" i="19"/>
  <c r="D41" i="19"/>
  <c r="S40" i="19"/>
  <c r="U40" i="19" s="1"/>
  <c r="V40" i="19" s="1"/>
  <c r="L40" i="19"/>
  <c r="N40" i="19" s="1"/>
  <c r="P40" i="19" s="1"/>
  <c r="E40" i="19"/>
  <c r="G40" i="19" s="1"/>
  <c r="I40" i="19" s="1"/>
  <c r="T39" i="19"/>
  <c r="R39" i="19"/>
  <c r="O39" i="19"/>
  <c r="M39" i="19"/>
  <c r="K39" i="19"/>
  <c r="H39" i="19"/>
  <c r="F39" i="19"/>
  <c r="D39" i="19"/>
  <c r="S38" i="19"/>
  <c r="U38" i="19" s="1"/>
  <c r="V38" i="19" s="1"/>
  <c r="L38" i="19"/>
  <c r="N38" i="19" s="1"/>
  <c r="P38" i="19" s="1"/>
  <c r="E38" i="19"/>
  <c r="G38" i="19" s="1"/>
  <c r="I38" i="19" s="1"/>
  <c r="T37" i="19"/>
  <c r="R37" i="19"/>
  <c r="O37" i="19"/>
  <c r="M37" i="19"/>
  <c r="K37" i="19"/>
  <c r="H37" i="19"/>
  <c r="F37" i="19"/>
  <c r="D37" i="19"/>
  <c r="T36" i="19"/>
  <c r="R36" i="19"/>
  <c r="O36" i="19"/>
  <c r="M36" i="19"/>
  <c r="K36" i="19"/>
  <c r="H36" i="19"/>
  <c r="F36" i="19"/>
  <c r="D36" i="19"/>
  <c r="T35" i="19"/>
  <c r="R35" i="19"/>
  <c r="O35" i="19"/>
  <c r="M35" i="19"/>
  <c r="K35" i="19"/>
  <c r="H35" i="19"/>
  <c r="F35" i="19"/>
  <c r="D35" i="19"/>
  <c r="T34" i="19"/>
  <c r="R34" i="19"/>
  <c r="O34" i="19"/>
  <c r="M34" i="19"/>
  <c r="K34" i="19"/>
  <c r="H34" i="19"/>
  <c r="F34" i="19"/>
  <c r="D34" i="19"/>
  <c r="T33" i="19"/>
  <c r="R33" i="19"/>
  <c r="O33" i="19"/>
  <c r="M33" i="19"/>
  <c r="K33" i="19"/>
  <c r="H33" i="19"/>
  <c r="F33" i="19"/>
  <c r="D33" i="19"/>
  <c r="S32" i="19"/>
  <c r="U32" i="19" s="1"/>
  <c r="V32" i="19" s="1"/>
  <c r="L32" i="19"/>
  <c r="N32" i="19" s="1"/>
  <c r="P32" i="19" s="1"/>
  <c r="E32" i="19"/>
  <c r="G32" i="19" s="1"/>
  <c r="I32" i="19" s="1"/>
  <c r="C49" i="19"/>
  <c r="D49" i="19"/>
  <c r="F49" i="19"/>
  <c r="J49" i="19"/>
  <c r="O49" i="19"/>
  <c r="Q49" i="19"/>
  <c r="R49" i="19"/>
  <c r="T49" i="19"/>
  <c r="L49" i="19" l="1"/>
  <c r="I48" i="19"/>
  <c r="I49" i="19" s="1"/>
  <c r="G49" i="19"/>
  <c r="E49" i="19"/>
  <c r="S49" i="19"/>
  <c r="N49" i="19"/>
  <c r="U49" i="19"/>
  <c r="V49" i="19" s="1"/>
  <c r="Z12" i="22" l="1"/>
  <c r="AB12" i="22" s="1"/>
  <c r="S12" i="22"/>
  <c r="U12" i="22" s="1"/>
  <c r="L13" i="22"/>
  <c r="N13" i="22" s="1"/>
  <c r="L12" i="22"/>
  <c r="N12" i="22" s="1"/>
  <c r="D55" i="19" l="1"/>
  <c r="D54" i="19"/>
  <c r="T44" i="20" l="1"/>
  <c r="S11" i="18" l="1"/>
  <c r="S8" i="18"/>
  <c r="L15" i="18"/>
  <c r="L14" i="18"/>
  <c r="L13" i="18"/>
  <c r="L12" i="18"/>
  <c r="L11" i="18"/>
  <c r="L9" i="18"/>
  <c r="N9" i="18" s="1"/>
  <c r="P9" i="18" s="1"/>
  <c r="L8" i="18"/>
  <c r="N8" i="18"/>
  <c r="P8" i="18" s="1"/>
  <c r="O10" i="18"/>
  <c r="O16" i="18" s="1"/>
  <c r="D9" i="4"/>
  <c r="AB81" i="4"/>
  <c r="Z81" i="4"/>
  <c r="X81" i="4"/>
  <c r="AB80" i="4"/>
  <c r="Z80" i="4"/>
  <c r="X80" i="4"/>
  <c r="AB79" i="4"/>
  <c r="Z79" i="4"/>
  <c r="X79" i="4"/>
  <c r="AB78" i="4"/>
  <c r="Z78" i="4"/>
  <c r="X78" i="4"/>
  <c r="AB77" i="4"/>
  <c r="Z77" i="4"/>
  <c r="X77" i="4"/>
  <c r="AB76" i="4"/>
  <c r="Z76" i="4"/>
  <c r="X76" i="4"/>
  <c r="AB69" i="4"/>
  <c r="Z69" i="4"/>
  <c r="X69" i="4"/>
  <c r="AB68" i="4"/>
  <c r="Z68" i="4"/>
  <c r="X68" i="4"/>
  <c r="AB67" i="4"/>
  <c r="Z67" i="4"/>
  <c r="X67" i="4"/>
  <c r="AB66" i="4"/>
  <c r="Z66" i="4"/>
  <c r="X66" i="4"/>
  <c r="AB65" i="4"/>
  <c r="X65" i="4"/>
  <c r="AB64" i="4"/>
  <c r="Z64" i="4"/>
  <c r="X64" i="4"/>
  <c r="M57" i="4"/>
  <c r="AB56" i="4"/>
  <c r="Z56" i="4"/>
  <c r="X56" i="4"/>
  <c r="R56" i="4"/>
  <c r="P56" i="4"/>
  <c r="N56" i="4"/>
  <c r="AB55" i="4"/>
  <c r="Z55" i="4"/>
  <c r="X55" i="4"/>
  <c r="R55" i="4"/>
  <c r="P55" i="4"/>
  <c r="N55" i="4"/>
  <c r="AB54" i="4"/>
  <c r="Z54" i="4"/>
  <c r="X54" i="4"/>
  <c r="R54" i="4"/>
  <c r="P54" i="4"/>
  <c r="N54" i="4"/>
  <c r="AB53" i="4"/>
  <c r="Z53" i="4"/>
  <c r="X53" i="4"/>
  <c r="R53" i="4"/>
  <c r="P53" i="4"/>
  <c r="N53" i="4"/>
  <c r="AB52" i="4"/>
  <c r="Z52" i="4"/>
  <c r="X52" i="4"/>
  <c r="R52" i="4"/>
  <c r="P52" i="4"/>
  <c r="N52" i="4"/>
  <c r="I47" i="4"/>
  <c r="I46" i="4"/>
  <c r="AB45" i="4"/>
  <c r="Z45" i="4"/>
  <c r="X45" i="4"/>
  <c r="V45" i="4"/>
  <c r="R45" i="4"/>
  <c r="P45" i="4"/>
  <c r="N45" i="4"/>
  <c r="I45" i="4"/>
  <c r="J45" i="4" s="1"/>
  <c r="H45" i="4"/>
  <c r="F45" i="4"/>
  <c r="D45" i="4"/>
  <c r="AB44" i="4"/>
  <c r="Z44" i="4"/>
  <c r="X44" i="4"/>
  <c r="V44" i="4"/>
  <c r="T44" i="4"/>
  <c r="R44" i="4"/>
  <c r="P44" i="4"/>
  <c r="N44" i="4"/>
  <c r="H44" i="4"/>
  <c r="F44" i="4"/>
  <c r="D44" i="4"/>
  <c r="AB43" i="4"/>
  <c r="Z43" i="4"/>
  <c r="X43" i="4"/>
  <c r="V43" i="4"/>
  <c r="R43" i="4"/>
  <c r="P43" i="4"/>
  <c r="N43" i="4"/>
  <c r="H43" i="4"/>
  <c r="F43" i="4"/>
  <c r="D43" i="4"/>
  <c r="AB42" i="4"/>
  <c r="Z42" i="4"/>
  <c r="X42" i="4"/>
  <c r="V42" i="4"/>
  <c r="R42" i="4"/>
  <c r="P42" i="4"/>
  <c r="N42" i="4"/>
  <c r="H42" i="4"/>
  <c r="F42" i="4"/>
  <c r="D42" i="4"/>
  <c r="AB41" i="4"/>
  <c r="Z41" i="4"/>
  <c r="X41" i="4"/>
  <c r="V41" i="4"/>
  <c r="R41" i="4"/>
  <c r="P41" i="4"/>
  <c r="N41" i="4"/>
  <c r="J41" i="4"/>
  <c r="H41" i="4"/>
  <c r="F41" i="4"/>
  <c r="D41" i="4"/>
  <c r="AB40" i="4"/>
  <c r="Z40" i="4"/>
  <c r="X40" i="4"/>
  <c r="V40" i="4"/>
  <c r="T40" i="4"/>
  <c r="S40" i="4"/>
  <c r="S45" i="4" s="1"/>
  <c r="T45" i="4" s="1"/>
  <c r="R40" i="4"/>
  <c r="P40" i="4"/>
  <c r="N40" i="4"/>
  <c r="I40" i="4"/>
  <c r="J43" i="4" s="1"/>
  <c r="H40" i="4"/>
  <c r="F40" i="4"/>
  <c r="D40" i="4"/>
  <c r="AA33" i="4"/>
  <c r="AB33" i="4" s="1"/>
  <c r="Z33" i="4"/>
  <c r="Y33" i="4"/>
  <c r="W33" i="4"/>
  <c r="X33" i="4" s="1"/>
  <c r="S33" i="4"/>
  <c r="T33" i="4" s="1"/>
  <c r="R33" i="4"/>
  <c r="Q33" i="4"/>
  <c r="O33" i="4"/>
  <c r="P33" i="4" s="1"/>
  <c r="M33" i="4"/>
  <c r="N33" i="4" s="1"/>
  <c r="K33" i="4"/>
  <c r="L33" i="4" s="1"/>
  <c r="J33" i="4"/>
  <c r="I33" i="4"/>
  <c r="G33" i="4"/>
  <c r="H33" i="4" s="1"/>
  <c r="E33" i="4"/>
  <c r="F33" i="4" s="1"/>
  <c r="C33" i="4"/>
  <c r="D33" i="4" s="1"/>
  <c r="AB32" i="4"/>
  <c r="Z32" i="4"/>
  <c r="X32" i="4"/>
  <c r="T32" i="4"/>
  <c r="R32" i="4"/>
  <c r="P32" i="4"/>
  <c r="N32" i="4"/>
  <c r="L32" i="4"/>
  <c r="J32" i="4"/>
  <c r="H32" i="4"/>
  <c r="F32" i="4"/>
  <c r="D32" i="4"/>
  <c r="AB31" i="4"/>
  <c r="Z31" i="4"/>
  <c r="X31" i="4"/>
  <c r="T31" i="4"/>
  <c r="R31" i="4"/>
  <c r="P31" i="4"/>
  <c r="N31" i="4"/>
  <c r="L31" i="4"/>
  <c r="J31" i="4"/>
  <c r="H31" i="4"/>
  <c r="F31" i="4"/>
  <c r="D31" i="4"/>
  <c r="AB30" i="4"/>
  <c r="Z30" i="4"/>
  <c r="X30" i="4"/>
  <c r="T30" i="4"/>
  <c r="R30" i="4"/>
  <c r="P30" i="4"/>
  <c r="N30" i="4"/>
  <c r="L30" i="4"/>
  <c r="J30" i="4"/>
  <c r="H30" i="4"/>
  <c r="F30" i="4"/>
  <c r="D30" i="4"/>
  <c r="AB29" i="4"/>
  <c r="Z29" i="4"/>
  <c r="X29" i="4"/>
  <c r="T29" i="4"/>
  <c r="R29" i="4"/>
  <c r="P29" i="4"/>
  <c r="N29" i="4"/>
  <c r="L29" i="4"/>
  <c r="J29" i="4"/>
  <c r="H29" i="4"/>
  <c r="F29" i="4"/>
  <c r="D29" i="4"/>
  <c r="AB28" i="4"/>
  <c r="Z28" i="4"/>
  <c r="X28" i="4"/>
  <c r="T28" i="4"/>
  <c r="R28" i="4"/>
  <c r="P28" i="4"/>
  <c r="N28" i="4"/>
  <c r="L28" i="4"/>
  <c r="J28" i="4"/>
  <c r="H28" i="4"/>
  <c r="F28" i="4"/>
  <c r="D28" i="4"/>
  <c r="S23" i="4"/>
  <c r="I23" i="4"/>
  <c r="S22" i="4"/>
  <c r="I22" i="4"/>
  <c r="AB21" i="4"/>
  <c r="AA21" i="4"/>
  <c r="Y21" i="4"/>
  <c r="Z21" i="4" s="1"/>
  <c r="W21" i="4"/>
  <c r="X21" i="4" s="1"/>
  <c r="V21" i="4"/>
  <c r="U21" i="4"/>
  <c r="T21" i="4"/>
  <c r="S21" i="4"/>
  <c r="Q21" i="4"/>
  <c r="R21" i="4" s="1"/>
  <c r="O21" i="4"/>
  <c r="P21" i="4" s="1"/>
  <c r="N21" i="4"/>
  <c r="M21" i="4"/>
  <c r="L21" i="4"/>
  <c r="K21" i="4"/>
  <c r="I21" i="4"/>
  <c r="J21" i="4" s="1"/>
  <c r="G21" i="4"/>
  <c r="H21" i="4" s="1"/>
  <c r="F21" i="4"/>
  <c r="E21" i="4"/>
  <c r="D21" i="4"/>
  <c r="C21" i="4"/>
  <c r="AB20" i="4"/>
  <c r="Z20" i="4"/>
  <c r="X20" i="4"/>
  <c r="V20" i="4"/>
  <c r="T20" i="4"/>
  <c r="R20" i="4"/>
  <c r="P20" i="4"/>
  <c r="N20" i="4"/>
  <c r="L20" i="4"/>
  <c r="J20" i="4"/>
  <c r="H20" i="4"/>
  <c r="F20" i="4"/>
  <c r="D20" i="4"/>
  <c r="AB19" i="4"/>
  <c r="Z19" i="4"/>
  <c r="X19" i="4"/>
  <c r="V19" i="4"/>
  <c r="T19" i="4"/>
  <c r="R19" i="4"/>
  <c r="P19" i="4"/>
  <c r="N19" i="4"/>
  <c r="L19" i="4"/>
  <c r="J19" i="4"/>
  <c r="H19" i="4"/>
  <c r="F19" i="4"/>
  <c r="D19" i="4"/>
  <c r="AB18" i="4"/>
  <c r="Z18" i="4"/>
  <c r="X18" i="4"/>
  <c r="V18" i="4"/>
  <c r="T18" i="4"/>
  <c r="R18" i="4"/>
  <c r="P18" i="4"/>
  <c r="N18" i="4"/>
  <c r="L18" i="4"/>
  <c r="J18" i="4"/>
  <c r="H18" i="4"/>
  <c r="F18" i="4"/>
  <c r="D18" i="4"/>
  <c r="AB17" i="4"/>
  <c r="Z17" i="4"/>
  <c r="X17" i="4"/>
  <c r="V17" i="4"/>
  <c r="T17" i="4"/>
  <c r="R17" i="4"/>
  <c r="P17" i="4"/>
  <c r="N17" i="4"/>
  <c r="L17" i="4"/>
  <c r="J17" i="4"/>
  <c r="H17" i="4"/>
  <c r="F17" i="4"/>
  <c r="D17" i="4"/>
  <c r="AB16" i="4"/>
  <c r="Z16" i="4"/>
  <c r="X16" i="4"/>
  <c r="V16" i="4"/>
  <c r="T16" i="4"/>
  <c r="R16" i="4"/>
  <c r="P16" i="4"/>
  <c r="N16" i="4"/>
  <c r="L16" i="4"/>
  <c r="J16" i="4"/>
  <c r="H16" i="4"/>
  <c r="F16" i="4"/>
  <c r="D16" i="4"/>
  <c r="S11" i="4"/>
  <c r="O11" i="4"/>
  <c r="M11" i="4"/>
  <c r="I11" i="4"/>
  <c r="W10" i="4"/>
  <c r="S10" i="4"/>
  <c r="I10" i="4"/>
  <c r="AA9" i="4"/>
  <c r="AB9" i="4" s="1"/>
  <c r="Y9" i="4"/>
  <c r="Z9" i="4" s="1"/>
  <c r="X9" i="4"/>
  <c r="W9" i="4"/>
  <c r="S9" i="4"/>
  <c r="T9" i="4" s="1"/>
  <c r="Q9" i="4"/>
  <c r="R9" i="4" s="1"/>
  <c r="O9" i="4"/>
  <c r="N9" i="4"/>
  <c r="M9" i="4"/>
  <c r="I9" i="4"/>
  <c r="J9" i="4" s="1"/>
  <c r="H9" i="4"/>
  <c r="G9" i="4"/>
  <c r="F9" i="4"/>
  <c r="E9" i="4"/>
  <c r="C9" i="4"/>
  <c r="AB8" i="4"/>
  <c r="Z8" i="4"/>
  <c r="X8" i="4"/>
  <c r="T8" i="4"/>
  <c r="R8" i="4"/>
  <c r="P8" i="4"/>
  <c r="V8" i="4" s="1"/>
  <c r="N8" i="4"/>
  <c r="L8" i="4"/>
  <c r="J8" i="4"/>
  <c r="H8" i="4"/>
  <c r="F8" i="4"/>
  <c r="D8" i="4"/>
  <c r="AB7" i="4"/>
  <c r="Z7" i="4"/>
  <c r="X7" i="4"/>
  <c r="T7" i="4"/>
  <c r="R7" i="4"/>
  <c r="P7" i="4"/>
  <c r="P4" i="4" s="1"/>
  <c r="N7" i="4"/>
  <c r="U7" i="4" s="1"/>
  <c r="V7" i="4" s="1"/>
  <c r="L7" i="4"/>
  <c r="J7" i="4"/>
  <c r="H7" i="4"/>
  <c r="F7" i="4"/>
  <c r="D7" i="4"/>
  <c r="AB6" i="4"/>
  <c r="AB4" i="4" s="1"/>
  <c r="Z6" i="4"/>
  <c r="X6" i="4"/>
  <c r="T6" i="4"/>
  <c r="R6" i="4"/>
  <c r="P6" i="4"/>
  <c r="N6" i="4"/>
  <c r="V6" i="4" s="1"/>
  <c r="L6" i="4"/>
  <c r="J6" i="4"/>
  <c r="H6" i="4"/>
  <c r="F6" i="4"/>
  <c r="D6" i="4"/>
  <c r="AB5" i="4"/>
  <c r="Z5" i="4"/>
  <c r="Z4" i="4" s="1"/>
  <c r="X5" i="4"/>
  <c r="X4" i="4" s="1"/>
  <c r="T5" i="4"/>
  <c r="R5" i="4"/>
  <c r="R4" i="4" s="1"/>
  <c r="P5" i="4"/>
  <c r="N5" i="4"/>
  <c r="L9" i="4"/>
  <c r="J5" i="4"/>
  <c r="H5" i="4"/>
  <c r="F5" i="4"/>
  <c r="D5" i="4"/>
  <c r="H4" i="4"/>
  <c r="F4" i="4"/>
  <c r="D4" i="4"/>
  <c r="M44" i="20"/>
  <c r="F31" i="6"/>
  <c r="H31" i="6"/>
  <c r="I31" i="6"/>
  <c r="J31" i="6"/>
  <c r="K31" i="6"/>
  <c r="M31" i="6"/>
  <c r="N31" i="6"/>
  <c r="O31" i="6"/>
  <c r="D31" i="6"/>
  <c r="C31" i="6"/>
  <c r="E31" i="6"/>
  <c r="P10" i="18" l="1"/>
  <c r="J4" i="4"/>
  <c r="V5" i="4"/>
  <c r="U9" i="4"/>
  <c r="V9" i="4" s="1"/>
  <c r="T4" i="4"/>
  <c r="L5" i="4"/>
  <c r="L4" i="4" s="1"/>
  <c r="T41" i="4"/>
  <c r="J42" i="4"/>
  <c r="N4" i="4"/>
  <c r="T43" i="4"/>
  <c r="J44" i="4"/>
  <c r="J40" i="4"/>
  <c r="T42" i="4"/>
  <c r="C55" i="21"/>
  <c r="D55" i="21"/>
  <c r="C56" i="21"/>
  <c r="D56" i="21"/>
  <c r="C57" i="21"/>
  <c r="D57" i="21"/>
  <c r="D59" i="21"/>
  <c r="D60" i="21"/>
  <c r="D61" i="21"/>
  <c r="D62" i="21"/>
  <c r="C59" i="21"/>
  <c r="C60" i="21"/>
  <c r="C61" i="21"/>
  <c r="C62" i="21"/>
  <c r="E42" i="21"/>
  <c r="G42" i="21" s="1"/>
  <c r="E43" i="21"/>
  <c r="G43" i="21" s="1"/>
  <c r="E44" i="21"/>
  <c r="E62" i="21" s="1"/>
  <c r="E36" i="21"/>
  <c r="E55" i="21" s="1"/>
  <c r="E37" i="21"/>
  <c r="E56" i="21" s="1"/>
  <c r="E38" i="21"/>
  <c r="G38" i="21" s="1"/>
  <c r="G57" i="21" s="1"/>
  <c r="E41" i="21"/>
  <c r="E59" i="21" s="1"/>
  <c r="P43" i="21"/>
  <c r="P44" i="21"/>
  <c r="Q55" i="21"/>
  <c r="S55" i="21"/>
  <c r="U55" i="21"/>
  <c r="Q56" i="21"/>
  <c r="S56" i="21"/>
  <c r="U56" i="21"/>
  <c r="Q57" i="21"/>
  <c r="S57" i="21"/>
  <c r="U57" i="21"/>
  <c r="Q58" i="21"/>
  <c r="R58" i="21"/>
  <c r="T58" i="21"/>
  <c r="Q59" i="21"/>
  <c r="R59" i="21"/>
  <c r="S59" i="21"/>
  <c r="T59" i="21"/>
  <c r="U59" i="21"/>
  <c r="Q60" i="21"/>
  <c r="S60" i="21"/>
  <c r="U60" i="21"/>
  <c r="Q61" i="21"/>
  <c r="S61" i="21"/>
  <c r="U61" i="21"/>
  <c r="Q62" i="21"/>
  <c r="S62" i="21"/>
  <c r="U62" i="21"/>
  <c r="N55" i="21"/>
  <c r="O55" i="21"/>
  <c r="N56" i="21"/>
  <c r="O56" i="21"/>
  <c r="N57" i="21"/>
  <c r="M58" i="21"/>
  <c r="O58" i="21"/>
  <c r="N59" i="21"/>
  <c r="O59" i="21"/>
  <c r="N60" i="21"/>
  <c r="M61" i="21"/>
  <c r="N61" i="21"/>
  <c r="O61" i="21"/>
  <c r="N62" i="21"/>
  <c r="O62" i="21"/>
  <c r="J55" i="21"/>
  <c r="L55" i="21"/>
  <c r="J56" i="21"/>
  <c r="L56" i="21"/>
  <c r="J57" i="21"/>
  <c r="L57" i="21"/>
  <c r="J58" i="21"/>
  <c r="K58" i="21"/>
  <c r="J59" i="21"/>
  <c r="L59" i="21"/>
  <c r="J60" i="21"/>
  <c r="L60" i="21"/>
  <c r="J61" i="21"/>
  <c r="L61" i="21"/>
  <c r="J62" i="21"/>
  <c r="L62" i="21"/>
  <c r="H55" i="21"/>
  <c r="H56" i="21"/>
  <c r="H57" i="21"/>
  <c r="H58" i="21"/>
  <c r="H59" i="21"/>
  <c r="H60" i="21"/>
  <c r="H61" i="21"/>
  <c r="H62" i="21"/>
  <c r="F55" i="21"/>
  <c r="F56" i="21"/>
  <c r="F57" i="21"/>
  <c r="F58" i="21"/>
  <c r="F59" i="21"/>
  <c r="F60" i="21"/>
  <c r="F61" i="21"/>
  <c r="F62" i="21"/>
  <c r="K44" i="21"/>
  <c r="K62" i="21" s="1"/>
  <c r="K43" i="21"/>
  <c r="K61" i="21" s="1"/>
  <c r="K42" i="21"/>
  <c r="K60" i="21" s="1"/>
  <c r="K41" i="21"/>
  <c r="K59" i="21" s="1"/>
  <c r="M44" i="21"/>
  <c r="M62" i="21" s="1"/>
  <c r="M43" i="21"/>
  <c r="M42" i="21"/>
  <c r="M60" i="21" s="1"/>
  <c r="M41" i="21"/>
  <c r="M59" i="21" s="1"/>
  <c r="R44" i="21"/>
  <c r="R62" i="21" s="1"/>
  <c r="R43" i="21"/>
  <c r="R61" i="21" s="1"/>
  <c r="R42" i="21"/>
  <c r="R60" i="21" s="1"/>
  <c r="R41" i="21"/>
  <c r="K38" i="21"/>
  <c r="K57" i="21" s="1"/>
  <c r="K37" i="21"/>
  <c r="K56" i="21" s="1"/>
  <c r="K36" i="21"/>
  <c r="K55" i="21" s="1"/>
  <c r="M38" i="21"/>
  <c r="M57" i="21" s="1"/>
  <c r="M37" i="21"/>
  <c r="M56" i="21" s="1"/>
  <c r="M36" i="21"/>
  <c r="M55" i="21" s="1"/>
  <c r="R38" i="21"/>
  <c r="R57" i="21" s="1"/>
  <c r="R37" i="21"/>
  <c r="R56" i="21" s="1"/>
  <c r="R36" i="21"/>
  <c r="R55" i="21" s="1"/>
  <c r="T42" i="21"/>
  <c r="T60" i="21" s="1"/>
  <c r="T43" i="21"/>
  <c r="T61" i="21" s="1"/>
  <c r="T44" i="21"/>
  <c r="T62" i="21" s="1"/>
  <c r="T41" i="21"/>
  <c r="T37" i="21"/>
  <c r="T56" i="21" s="1"/>
  <c r="T38" i="21"/>
  <c r="T57" i="21" s="1"/>
  <c r="T36" i="21"/>
  <c r="T55" i="21" s="1"/>
  <c r="L39" i="21"/>
  <c r="L58" i="21" s="1"/>
  <c r="E60" i="21" l="1"/>
  <c r="G36" i="21"/>
  <c r="I36" i="21" s="1"/>
  <c r="I55" i="21" s="1"/>
  <c r="V4" i="4"/>
  <c r="G41" i="21"/>
  <c r="G44" i="21"/>
  <c r="E57" i="21"/>
  <c r="G37" i="21"/>
  <c r="G56" i="21" s="1"/>
  <c r="G55" i="21"/>
  <c r="E61" i="21"/>
  <c r="G61" i="21"/>
  <c r="I43" i="21"/>
  <c r="I61" i="21" s="1"/>
  <c r="I42" i="21"/>
  <c r="I60" i="21" s="1"/>
  <c r="G60" i="21"/>
  <c r="I38" i="21"/>
  <c r="I57" i="21" s="1"/>
  <c r="AD5" i="13"/>
  <c r="AB5" i="13"/>
  <c r="AA5" i="13"/>
  <c r="Z5" i="13"/>
  <c r="Y5" i="13"/>
  <c r="X5" i="13"/>
  <c r="W5" i="13"/>
  <c r="V5" i="13"/>
  <c r="U5" i="13"/>
  <c r="T5" i="13"/>
  <c r="S5" i="13"/>
  <c r="R5" i="13"/>
  <c r="P5" i="13"/>
  <c r="M5" i="13"/>
  <c r="K5" i="13"/>
  <c r="J5" i="13"/>
  <c r="I5" i="13"/>
  <c r="H5" i="13"/>
  <c r="AE5" i="13" l="1"/>
  <c r="G59" i="21"/>
  <c r="I41" i="21"/>
  <c r="I59" i="21" s="1"/>
  <c r="I37" i="21"/>
  <c r="I56" i="21" s="1"/>
  <c r="G62" i="21"/>
  <c r="I44" i="21"/>
  <c r="I62" i="21" s="1"/>
  <c r="Q5" i="13"/>
  <c r="L5" i="13"/>
  <c r="G5" i="13" l="1"/>
  <c r="G30" i="6" l="1"/>
  <c r="G23" i="6"/>
  <c r="L30" i="6"/>
  <c r="L23" i="6"/>
  <c r="G29" i="6"/>
  <c r="L29" i="6"/>
  <c r="O16" i="6" l="1"/>
  <c r="S48" i="21"/>
  <c r="U48" i="21" s="1"/>
  <c r="S47" i="21"/>
  <c r="U47" i="21" s="1"/>
  <c r="S46" i="21"/>
  <c r="U46" i="21" s="1"/>
  <c r="S45" i="21"/>
  <c r="S39" i="21"/>
  <c r="S34" i="21"/>
  <c r="U34" i="21" s="1"/>
  <c r="S33" i="21"/>
  <c r="L48" i="21"/>
  <c r="N48" i="21" s="1"/>
  <c r="L47" i="21"/>
  <c r="N47" i="21" s="1"/>
  <c r="L46" i="21"/>
  <c r="N46" i="21" s="1"/>
  <c r="L45" i="21"/>
  <c r="N45" i="21" s="1"/>
  <c r="P45" i="21" s="1"/>
  <c r="N39" i="21"/>
  <c r="L34" i="21"/>
  <c r="N34" i="21" s="1"/>
  <c r="L33" i="21"/>
  <c r="N33" i="21" s="1"/>
  <c r="D66" i="21"/>
  <c r="E34" i="21"/>
  <c r="E39" i="21"/>
  <c r="E58" i="21" s="1"/>
  <c r="E45" i="21"/>
  <c r="G45" i="21" s="1"/>
  <c r="I45" i="21" s="1"/>
  <c r="E46" i="21"/>
  <c r="G46" i="21" s="1"/>
  <c r="E47" i="21"/>
  <c r="G47" i="21" s="1"/>
  <c r="E48" i="21"/>
  <c r="G48" i="21" s="1"/>
  <c r="I48" i="21" s="1"/>
  <c r="E33" i="21"/>
  <c r="G33" i="21" s="1"/>
  <c r="S16" i="21"/>
  <c r="S15" i="21"/>
  <c r="U15" i="21" s="1"/>
  <c r="S14" i="21"/>
  <c r="S13" i="21"/>
  <c r="U13" i="21" s="1"/>
  <c r="S12" i="21"/>
  <c r="U12" i="21" s="1"/>
  <c r="S11" i="21"/>
  <c r="S10" i="21"/>
  <c r="U10" i="21" s="1"/>
  <c r="S9" i="21"/>
  <c r="U9" i="21" s="1"/>
  <c r="S8" i="21"/>
  <c r="L16" i="21"/>
  <c r="N16" i="21" s="1"/>
  <c r="L15" i="21"/>
  <c r="N15" i="21" s="1"/>
  <c r="L14" i="21"/>
  <c r="N14" i="21" s="1"/>
  <c r="L13" i="21"/>
  <c r="N13" i="21" s="1"/>
  <c r="L12" i="21"/>
  <c r="L11" i="21"/>
  <c r="L10" i="21"/>
  <c r="L9" i="21"/>
  <c r="N9" i="21" s="1"/>
  <c r="L8" i="21"/>
  <c r="E13" i="21"/>
  <c r="E9" i="21"/>
  <c r="G9" i="21" s="1"/>
  <c r="E10" i="21"/>
  <c r="G10" i="21" s="1"/>
  <c r="E11" i="21"/>
  <c r="G11" i="21" s="1"/>
  <c r="E12" i="21"/>
  <c r="E14" i="21"/>
  <c r="G14" i="21" s="1"/>
  <c r="E15" i="21"/>
  <c r="G15" i="21" s="1"/>
  <c r="E16" i="21"/>
  <c r="G16" i="21" s="1"/>
  <c r="E8" i="21"/>
  <c r="G8" i="21" s="1"/>
  <c r="S4" i="21"/>
  <c r="U4" i="21" s="1"/>
  <c r="L4" i="21"/>
  <c r="N4" i="21" s="1"/>
  <c r="E4" i="21"/>
  <c r="G4" i="21" s="1"/>
  <c r="O45" i="20"/>
  <c r="O44" i="20"/>
  <c r="M45" i="20"/>
  <c r="M46" i="20" s="1"/>
  <c r="K45" i="20"/>
  <c r="K44" i="20"/>
  <c r="K46" i="20" s="1"/>
  <c r="R44" i="20"/>
  <c r="T45" i="20"/>
  <c r="T46" i="20" s="1"/>
  <c r="J46" i="20"/>
  <c r="L46" i="20"/>
  <c r="S46" i="20"/>
  <c r="N46" i="20"/>
  <c r="U46" i="20"/>
  <c r="V46" i="20" s="1"/>
  <c r="S36" i="20"/>
  <c r="U36" i="20" s="1"/>
  <c r="V36" i="20" s="1"/>
  <c r="S33" i="20"/>
  <c r="U33" i="20" s="1"/>
  <c r="V33" i="20" s="1"/>
  <c r="S34" i="20"/>
  <c r="S35" i="20"/>
  <c r="U35" i="20" s="1"/>
  <c r="V35" i="20" s="1"/>
  <c r="S37" i="20"/>
  <c r="U37" i="20" s="1"/>
  <c r="V37" i="20" s="1"/>
  <c r="S38" i="20"/>
  <c r="U38" i="20" s="1"/>
  <c r="V38" i="20" s="1"/>
  <c r="S32" i="20"/>
  <c r="U32" i="20" s="1"/>
  <c r="V32" i="20" s="1"/>
  <c r="L33" i="20"/>
  <c r="N33" i="20" s="1"/>
  <c r="P33" i="20" s="1"/>
  <c r="L34" i="20"/>
  <c r="N34" i="20" s="1"/>
  <c r="P34" i="20" s="1"/>
  <c r="L35" i="20"/>
  <c r="N35" i="20" s="1"/>
  <c r="P35" i="20" s="1"/>
  <c r="L36" i="20"/>
  <c r="N36" i="20" s="1"/>
  <c r="P36" i="20" s="1"/>
  <c r="L37" i="20"/>
  <c r="N37" i="20" s="1"/>
  <c r="P37" i="20" s="1"/>
  <c r="L38" i="20"/>
  <c r="N38" i="20" s="1"/>
  <c r="L32" i="20"/>
  <c r="E33" i="20"/>
  <c r="G33" i="20" s="1"/>
  <c r="I33" i="20" s="1"/>
  <c r="E34" i="20"/>
  <c r="G34" i="20" s="1"/>
  <c r="I34" i="20" s="1"/>
  <c r="E35" i="20"/>
  <c r="G35" i="20" s="1"/>
  <c r="I35" i="20" s="1"/>
  <c r="E36" i="20"/>
  <c r="G36" i="20" s="1"/>
  <c r="I36" i="20" s="1"/>
  <c r="E37" i="20"/>
  <c r="G37" i="20" s="1"/>
  <c r="I37" i="20" s="1"/>
  <c r="E38" i="20"/>
  <c r="G38" i="20" s="1"/>
  <c r="I38" i="20" s="1"/>
  <c r="E32" i="20"/>
  <c r="S15" i="20"/>
  <c r="U15" i="20" s="1"/>
  <c r="V15" i="20" s="1"/>
  <c r="S14" i="20"/>
  <c r="S13" i="20"/>
  <c r="S12" i="20"/>
  <c r="S11" i="20"/>
  <c r="S9" i="20"/>
  <c r="S8" i="20"/>
  <c r="U8" i="20" s="1"/>
  <c r="V8" i="20" s="1"/>
  <c r="L15" i="20"/>
  <c r="N15" i="20" s="1"/>
  <c r="P15" i="20" s="1"/>
  <c r="L14" i="20"/>
  <c r="L13" i="20"/>
  <c r="N13" i="20" s="1"/>
  <c r="L12" i="20"/>
  <c r="N12" i="20" s="1"/>
  <c r="L11" i="20"/>
  <c r="N11" i="20" s="1"/>
  <c r="L9" i="20"/>
  <c r="N9" i="20" s="1"/>
  <c r="P9" i="20" s="1"/>
  <c r="L8" i="20"/>
  <c r="E9" i="20"/>
  <c r="G9" i="20" s="1"/>
  <c r="I9" i="20" s="1"/>
  <c r="E11" i="20"/>
  <c r="G11" i="20" s="1"/>
  <c r="E12" i="20"/>
  <c r="G12" i="20" s="1"/>
  <c r="I12" i="20" s="1"/>
  <c r="E13" i="20"/>
  <c r="G13" i="20" s="1"/>
  <c r="E14" i="20"/>
  <c r="E15" i="20"/>
  <c r="G15" i="20" s="1"/>
  <c r="I15" i="20" s="1"/>
  <c r="E8" i="20"/>
  <c r="G8" i="20" s="1"/>
  <c r="S4" i="20"/>
  <c r="U4" i="20" s="1"/>
  <c r="V4" i="20" s="1"/>
  <c r="L4" i="20"/>
  <c r="N4" i="20" s="1"/>
  <c r="E4" i="20"/>
  <c r="G4" i="20" s="1"/>
  <c r="T69" i="19"/>
  <c r="R69" i="19"/>
  <c r="O69" i="19"/>
  <c r="M69" i="19"/>
  <c r="K69" i="19"/>
  <c r="H69" i="19"/>
  <c r="F69" i="19"/>
  <c r="D69" i="19"/>
  <c r="O70" i="19"/>
  <c r="M70" i="19"/>
  <c r="K70" i="19"/>
  <c r="H70" i="19"/>
  <c r="F70" i="19"/>
  <c r="D70" i="19"/>
  <c r="T64" i="19"/>
  <c r="R64" i="19"/>
  <c r="O64" i="19"/>
  <c r="M64" i="19"/>
  <c r="K64" i="19"/>
  <c r="H64" i="19"/>
  <c r="F64" i="19"/>
  <c r="K72" i="19" l="1"/>
  <c r="S20" i="20"/>
  <c r="S21" i="20"/>
  <c r="O46" i="20"/>
  <c r="L39" i="20"/>
  <c r="N32" i="20"/>
  <c r="P32" i="20" s="1"/>
  <c r="P39" i="20"/>
  <c r="E21" i="20"/>
  <c r="E39" i="20"/>
  <c r="L10" i="20"/>
  <c r="L19" i="20" s="1"/>
  <c r="G32" i="20"/>
  <c r="I32" i="20" s="1"/>
  <c r="S39" i="20"/>
  <c r="M72" i="19"/>
  <c r="F72" i="19"/>
  <c r="O72" i="19"/>
  <c r="H72" i="19"/>
  <c r="R72" i="19"/>
  <c r="T72" i="19"/>
  <c r="L23" i="20"/>
  <c r="S22" i="20"/>
  <c r="S23" i="20"/>
  <c r="N58" i="21"/>
  <c r="U39" i="21"/>
  <c r="U58" i="21" s="1"/>
  <c r="S58" i="21"/>
  <c r="L22" i="21"/>
  <c r="G21" i="21"/>
  <c r="L23" i="21"/>
  <c r="S23" i="21"/>
  <c r="E23" i="21"/>
  <c r="L21" i="21"/>
  <c r="S54" i="21"/>
  <c r="G20" i="21"/>
  <c r="L25" i="21"/>
  <c r="L20" i="21"/>
  <c r="N11" i="21"/>
  <c r="N21" i="21" s="1"/>
  <c r="G25" i="21"/>
  <c r="S25" i="21"/>
  <c r="G24" i="21"/>
  <c r="G13" i="21"/>
  <c r="G23" i="21" s="1"/>
  <c r="L24" i="21"/>
  <c r="D54" i="21"/>
  <c r="E22" i="21"/>
  <c r="D58" i="21"/>
  <c r="E21" i="21"/>
  <c r="D64" i="21"/>
  <c r="I46" i="21"/>
  <c r="I33" i="21"/>
  <c r="N23" i="21"/>
  <c r="N24" i="21"/>
  <c r="N25" i="21"/>
  <c r="L66" i="21"/>
  <c r="D65" i="21"/>
  <c r="N10" i="21"/>
  <c r="N20" i="21" s="1"/>
  <c r="N66" i="21"/>
  <c r="N12" i="21"/>
  <c r="N22" i="21" s="1"/>
  <c r="S21" i="21"/>
  <c r="E66" i="21"/>
  <c r="G12" i="21"/>
  <c r="G22" i="21" s="1"/>
  <c r="U8" i="21"/>
  <c r="U20" i="21" s="1"/>
  <c r="U11" i="21"/>
  <c r="G34" i="21"/>
  <c r="I47" i="21"/>
  <c r="G39" i="21"/>
  <c r="G58" i="21" s="1"/>
  <c r="S24" i="21"/>
  <c r="U14" i="21"/>
  <c r="D53" i="21"/>
  <c r="U16" i="21"/>
  <c r="U25" i="21" s="1"/>
  <c r="S20" i="21"/>
  <c r="U33" i="21"/>
  <c r="S22" i="21"/>
  <c r="E20" i="21"/>
  <c r="E24" i="21"/>
  <c r="E25" i="21"/>
  <c r="U39" i="20"/>
  <c r="V39" i="20" s="1"/>
  <c r="E23" i="20"/>
  <c r="G14" i="20"/>
  <c r="I14" i="20" s="1"/>
  <c r="G10" i="20"/>
  <c r="G19" i="20" s="1"/>
  <c r="I13" i="20"/>
  <c r="G22" i="20"/>
  <c r="I11" i="20"/>
  <c r="G20" i="20"/>
  <c r="P11" i="20"/>
  <c r="P12" i="20"/>
  <c r="P13" i="20"/>
  <c r="N14" i="20"/>
  <c r="U14" i="20"/>
  <c r="I8" i="20"/>
  <c r="L20" i="20"/>
  <c r="E10" i="20"/>
  <c r="E19" i="20" s="1"/>
  <c r="L21" i="20"/>
  <c r="E20" i="20"/>
  <c r="L22" i="20"/>
  <c r="N8" i="20"/>
  <c r="P8" i="20" s="1"/>
  <c r="S10" i="20"/>
  <c r="S19" i="20" s="1"/>
  <c r="U9" i="20"/>
  <c r="G21" i="20"/>
  <c r="U11" i="20"/>
  <c r="E22" i="20"/>
  <c r="U12" i="20"/>
  <c r="U13" i="20"/>
  <c r="D64" i="19"/>
  <c r="D72" i="19" s="1"/>
  <c r="E65" i="19"/>
  <c r="G65" i="19" s="1"/>
  <c r="I65" i="19" s="1"/>
  <c r="G68" i="19"/>
  <c r="C72" i="19"/>
  <c r="Q72" i="19"/>
  <c r="J72" i="19"/>
  <c r="V56" i="19"/>
  <c r="S9" i="19"/>
  <c r="U9" i="19" s="1"/>
  <c r="V9" i="19" s="1"/>
  <c r="S11" i="19"/>
  <c r="U11" i="19" s="1"/>
  <c r="V11" i="19" s="1"/>
  <c r="S12" i="19"/>
  <c r="U12" i="19" s="1"/>
  <c r="V12" i="19" s="1"/>
  <c r="S13" i="19"/>
  <c r="U13" i="19" s="1"/>
  <c r="V13" i="19" s="1"/>
  <c r="S14" i="19"/>
  <c r="U14" i="19" s="1"/>
  <c r="V14" i="19" s="1"/>
  <c r="S15" i="19"/>
  <c r="U15" i="19" s="1"/>
  <c r="V15" i="19" s="1"/>
  <c r="S8" i="19"/>
  <c r="U8" i="19" s="1"/>
  <c r="L9" i="19"/>
  <c r="N9" i="19" s="1"/>
  <c r="P9" i="19" s="1"/>
  <c r="L11" i="19"/>
  <c r="L12" i="19"/>
  <c r="N12" i="19" s="1"/>
  <c r="P12" i="19" s="1"/>
  <c r="L13" i="19"/>
  <c r="N13" i="19" s="1"/>
  <c r="P13" i="19" s="1"/>
  <c r="L14" i="19"/>
  <c r="N14" i="19" s="1"/>
  <c r="P14" i="19" s="1"/>
  <c r="L15" i="19"/>
  <c r="N15" i="19" s="1"/>
  <c r="P15" i="19" s="1"/>
  <c r="L8" i="19"/>
  <c r="N8" i="19" s="1"/>
  <c r="P8" i="19" s="1"/>
  <c r="P72" i="19" s="1"/>
  <c r="S4" i="19"/>
  <c r="U4" i="19" s="1"/>
  <c r="V4" i="19" s="1"/>
  <c r="L4" i="19"/>
  <c r="N4" i="19" s="1"/>
  <c r="P4" i="19" s="1"/>
  <c r="E11" i="19"/>
  <c r="G11" i="19" s="1"/>
  <c r="E12" i="19"/>
  <c r="E13" i="19"/>
  <c r="E14" i="19"/>
  <c r="G14" i="19" s="1"/>
  <c r="E15" i="19"/>
  <c r="G15" i="19" s="1"/>
  <c r="I15" i="19" s="1"/>
  <c r="E9" i="19"/>
  <c r="G9" i="19" s="1"/>
  <c r="I9" i="19" s="1"/>
  <c r="E8" i="19"/>
  <c r="G8" i="19" s="1"/>
  <c r="E4" i="19"/>
  <c r="G4" i="19" s="1"/>
  <c r="I4" i="19" s="1"/>
  <c r="S20" i="18"/>
  <c r="U13" i="18"/>
  <c r="V13" i="18" s="1"/>
  <c r="U11" i="18"/>
  <c r="V11" i="18" s="1"/>
  <c r="U8" i="18"/>
  <c r="V8" i="18" s="1"/>
  <c r="S15" i="18"/>
  <c r="U15" i="18" s="1"/>
  <c r="V15" i="18" s="1"/>
  <c r="S14" i="18"/>
  <c r="S23" i="18" s="1"/>
  <c r="S13" i="18"/>
  <c r="S22" i="18" s="1"/>
  <c r="S12" i="18"/>
  <c r="U12" i="18" s="1"/>
  <c r="V12" i="18" s="1"/>
  <c r="S9" i="18"/>
  <c r="U9" i="18" s="1"/>
  <c r="V9" i="18" s="1"/>
  <c r="S4" i="18"/>
  <c r="U4" i="18" s="1"/>
  <c r="V4" i="18" s="1"/>
  <c r="N22" i="18"/>
  <c r="N15" i="18"/>
  <c r="P15" i="18" s="1"/>
  <c r="N14" i="18"/>
  <c r="N13" i="18"/>
  <c r="P13" i="18" s="1"/>
  <c r="N12" i="18"/>
  <c r="N11" i="18"/>
  <c r="L22" i="18"/>
  <c r="L23" i="18"/>
  <c r="L21" i="18"/>
  <c r="L20" i="18"/>
  <c r="L4" i="18"/>
  <c r="N4" i="18" s="1"/>
  <c r="P4" i="18" s="1"/>
  <c r="E9" i="18"/>
  <c r="G9" i="18" s="1"/>
  <c r="I9" i="18" s="1"/>
  <c r="E11" i="18"/>
  <c r="E12" i="18"/>
  <c r="G12" i="18" s="1"/>
  <c r="E13" i="18"/>
  <c r="E14" i="18"/>
  <c r="G14" i="18" s="1"/>
  <c r="I14" i="18" s="1"/>
  <c r="E15" i="18"/>
  <c r="G15" i="18" s="1"/>
  <c r="I15" i="18" s="1"/>
  <c r="E8" i="18"/>
  <c r="G8" i="18" s="1"/>
  <c r="I8" i="18" s="1"/>
  <c r="E4" i="18"/>
  <c r="G4" i="18" s="1"/>
  <c r="I4" i="18" s="1"/>
  <c r="U21" i="20" l="1"/>
  <c r="V12" i="20"/>
  <c r="V21" i="20" s="1"/>
  <c r="U22" i="20"/>
  <c r="V13" i="20"/>
  <c r="V22" i="20" s="1"/>
  <c r="U20" i="20"/>
  <c r="V11" i="20"/>
  <c r="V20" i="20" s="1"/>
  <c r="U10" i="20"/>
  <c r="V9" i="20"/>
  <c r="U23" i="20"/>
  <c r="V14" i="20"/>
  <c r="V23" i="20" s="1"/>
  <c r="E22" i="18"/>
  <c r="E20" i="18"/>
  <c r="U22" i="18"/>
  <c r="G13" i="18"/>
  <c r="I13" i="18" s="1"/>
  <c r="U21" i="18"/>
  <c r="E23" i="18"/>
  <c r="U72" i="19"/>
  <c r="V8" i="19"/>
  <c r="G21" i="18"/>
  <c r="U14" i="18"/>
  <c r="V22" i="18"/>
  <c r="V20" i="18"/>
  <c r="V21" i="18"/>
  <c r="N21" i="18"/>
  <c r="P12" i="18"/>
  <c r="N20" i="18"/>
  <c r="P11" i="18"/>
  <c r="S21" i="18"/>
  <c r="E21" i="18"/>
  <c r="G11" i="18"/>
  <c r="N23" i="18"/>
  <c r="P14" i="18"/>
  <c r="U20" i="18"/>
  <c r="N39" i="20"/>
  <c r="G39" i="20"/>
  <c r="N21" i="20"/>
  <c r="N20" i="20"/>
  <c r="L55" i="19"/>
  <c r="I68" i="19"/>
  <c r="G72" i="19"/>
  <c r="G23" i="18"/>
  <c r="I12" i="18"/>
  <c r="L65" i="21"/>
  <c r="U22" i="21"/>
  <c r="L53" i="21"/>
  <c r="N53" i="21"/>
  <c r="N54" i="21"/>
  <c r="U53" i="21"/>
  <c r="S64" i="21"/>
  <c r="N64" i="21"/>
  <c r="N65" i="21"/>
  <c r="S65" i="21"/>
  <c r="L64" i="21"/>
  <c r="S66" i="21"/>
  <c r="S53" i="21"/>
  <c r="L54" i="21"/>
  <c r="E65" i="21"/>
  <c r="E53" i="21"/>
  <c r="E64" i="21"/>
  <c r="U21" i="21"/>
  <c r="E54" i="21"/>
  <c r="I39" i="21"/>
  <c r="I58" i="21" s="1"/>
  <c r="I34" i="21"/>
  <c r="U24" i="21"/>
  <c r="U23" i="21"/>
  <c r="N10" i="20"/>
  <c r="N19" i="20" s="1"/>
  <c r="G23" i="20"/>
  <c r="N22" i="20"/>
  <c r="N23" i="20"/>
  <c r="P14" i="20"/>
  <c r="I20" i="20"/>
  <c r="L20" i="19"/>
  <c r="E22" i="19"/>
  <c r="N11" i="19"/>
  <c r="P11" i="19" s="1"/>
  <c r="E59" i="19"/>
  <c r="L22" i="19"/>
  <c r="S55" i="19"/>
  <c r="L23" i="19"/>
  <c r="N72" i="19"/>
  <c r="E72" i="19"/>
  <c r="L21" i="19"/>
  <c r="L72" i="19"/>
  <c r="S72" i="19"/>
  <c r="U20" i="19"/>
  <c r="U22" i="19"/>
  <c r="U23" i="19"/>
  <c r="U21" i="19"/>
  <c r="S23" i="19"/>
  <c r="S20" i="19"/>
  <c r="S22" i="19"/>
  <c r="S21" i="19"/>
  <c r="N21" i="19"/>
  <c r="N22" i="19"/>
  <c r="N23" i="19"/>
  <c r="E21" i="19"/>
  <c r="G23" i="19"/>
  <c r="G13" i="19"/>
  <c r="I13" i="19" s="1"/>
  <c r="E20" i="19"/>
  <c r="E23" i="19"/>
  <c r="G20" i="19"/>
  <c r="I11" i="19"/>
  <c r="I14" i="19"/>
  <c r="G12" i="19"/>
  <c r="I8" i="19"/>
  <c r="M20" i="14"/>
  <c r="M19" i="14" s="1"/>
  <c r="N20" i="14"/>
  <c r="N19" i="14" s="1"/>
  <c r="I19" i="14"/>
  <c r="D20" i="14"/>
  <c r="D19" i="14" s="1"/>
  <c r="E20" i="14"/>
  <c r="E19" i="14" s="1"/>
  <c r="F20" i="14"/>
  <c r="F19" i="14" s="1"/>
  <c r="G20" i="14"/>
  <c r="G19" i="14" s="1"/>
  <c r="H20" i="14"/>
  <c r="H19" i="14" s="1"/>
  <c r="I20" i="14"/>
  <c r="J20" i="14"/>
  <c r="J19" i="14" s="1"/>
  <c r="K20" i="14"/>
  <c r="K19" i="14" s="1"/>
  <c r="L20" i="14"/>
  <c r="L19" i="14" s="1"/>
  <c r="C19" i="14"/>
  <c r="C20" i="14"/>
  <c r="O19" i="14"/>
  <c r="O20" i="14"/>
  <c r="R19" i="14"/>
  <c r="P19" i="14"/>
  <c r="P20" i="14"/>
  <c r="Q20" i="14"/>
  <c r="R20" i="14"/>
  <c r="S19" i="14"/>
  <c r="S20" i="14"/>
  <c r="S32" i="18"/>
  <c r="U32" i="18" s="1"/>
  <c r="U34" i="18"/>
  <c r="V34" i="18" s="1"/>
  <c r="S38" i="18"/>
  <c r="U38" i="18" s="1"/>
  <c r="V38" i="18" s="1"/>
  <c r="S37" i="18"/>
  <c r="U37" i="18" s="1"/>
  <c r="S36" i="18"/>
  <c r="U36" i="18" s="1"/>
  <c r="V36" i="18" s="1"/>
  <c r="S35" i="18"/>
  <c r="U35" i="18" s="1"/>
  <c r="V35" i="18" s="1"/>
  <c r="S34" i="18"/>
  <c r="S33" i="18"/>
  <c r="U33" i="18" s="1"/>
  <c r="V33" i="18" s="1"/>
  <c r="L38" i="18"/>
  <c r="N38" i="18" s="1"/>
  <c r="P38" i="18" s="1"/>
  <c r="L37" i="18"/>
  <c r="N37" i="18" s="1"/>
  <c r="L36" i="18"/>
  <c r="N36" i="18" s="1"/>
  <c r="P36" i="18" s="1"/>
  <c r="L35" i="18"/>
  <c r="N35" i="18" s="1"/>
  <c r="P35" i="18" s="1"/>
  <c r="L34" i="18"/>
  <c r="N34" i="18" s="1"/>
  <c r="P34" i="18" s="1"/>
  <c r="L33" i="18"/>
  <c r="L32" i="18"/>
  <c r="N32" i="18" s="1"/>
  <c r="G36" i="18"/>
  <c r="I36" i="18" s="1"/>
  <c r="E33" i="18"/>
  <c r="G33" i="18" s="1"/>
  <c r="I33" i="18" s="1"/>
  <c r="E34" i="18"/>
  <c r="G34" i="18" s="1"/>
  <c r="I34" i="18" s="1"/>
  <c r="E35" i="18"/>
  <c r="G35" i="18" s="1"/>
  <c r="I35" i="18" s="1"/>
  <c r="E36" i="18"/>
  <c r="E37" i="18"/>
  <c r="G37" i="18" s="1"/>
  <c r="E38" i="18"/>
  <c r="G38" i="18" s="1"/>
  <c r="I38" i="18" s="1"/>
  <c r="E32" i="18"/>
  <c r="G32" i="18" s="1"/>
  <c r="R48" i="18"/>
  <c r="R45" i="18"/>
  <c r="T48" i="18"/>
  <c r="T45" i="18"/>
  <c r="O48" i="18"/>
  <c r="O45" i="18"/>
  <c r="M48" i="18"/>
  <c r="M45" i="18"/>
  <c r="K48" i="18"/>
  <c r="K45" i="18"/>
  <c r="K44" i="18"/>
  <c r="H48" i="18"/>
  <c r="H45" i="18"/>
  <c r="H44" i="18"/>
  <c r="F48" i="18"/>
  <c r="F45" i="18"/>
  <c r="F44" i="18"/>
  <c r="D45" i="18"/>
  <c r="D48" i="18"/>
  <c r="D44" i="18"/>
  <c r="L11" i="13"/>
  <c r="M11" i="13"/>
  <c r="N11" i="13"/>
  <c r="O11" i="13"/>
  <c r="P11" i="13"/>
  <c r="Q11" i="13"/>
  <c r="R11" i="13"/>
  <c r="S11" i="13"/>
  <c r="T11" i="13"/>
  <c r="U11" i="13"/>
  <c r="V11" i="13"/>
  <c r="W11" i="13"/>
  <c r="X11" i="13"/>
  <c r="Y11" i="13"/>
  <c r="Z11" i="13"/>
  <c r="AA11" i="13"/>
  <c r="AB11" i="13"/>
  <c r="AC11" i="13"/>
  <c r="AD11" i="13"/>
  <c r="D11" i="13"/>
  <c r="E11" i="13"/>
  <c r="F11" i="13"/>
  <c r="G11" i="13"/>
  <c r="H11" i="13"/>
  <c r="I11" i="13"/>
  <c r="J11" i="13"/>
  <c r="K11" i="13"/>
  <c r="C11" i="13"/>
  <c r="U23" i="18" l="1"/>
  <c r="V14" i="18"/>
  <c r="V23" i="18" s="1"/>
  <c r="U19" i="20"/>
  <c r="V10" i="20"/>
  <c r="V19" i="20" s="1"/>
  <c r="H49" i="18"/>
  <c r="G22" i="18"/>
  <c r="D49" i="18"/>
  <c r="L39" i="18"/>
  <c r="K49" i="18"/>
  <c r="E39" i="18"/>
  <c r="V23" i="19"/>
  <c r="V22" i="19"/>
  <c r="V21" i="19"/>
  <c r="V72" i="19"/>
  <c r="V20" i="19"/>
  <c r="V32" i="18"/>
  <c r="U39" i="18"/>
  <c r="V39" i="18" s="1"/>
  <c r="G39" i="18"/>
  <c r="I32" i="18"/>
  <c r="I39" i="18" s="1"/>
  <c r="P32" i="18"/>
  <c r="N33" i="18"/>
  <c r="P33" i="18" s="1"/>
  <c r="G20" i="18"/>
  <c r="I11" i="18"/>
  <c r="F49" i="18"/>
  <c r="S39" i="18"/>
  <c r="N53" i="19"/>
  <c r="I72" i="19"/>
  <c r="U66" i="21"/>
  <c r="U64" i="21"/>
  <c r="U65" i="21"/>
  <c r="U54" i="21"/>
  <c r="G64" i="21"/>
  <c r="G66" i="21"/>
  <c r="G54" i="21"/>
  <c r="G65" i="21"/>
  <c r="G53" i="21"/>
  <c r="I54" i="21"/>
  <c r="N20" i="19"/>
  <c r="E57" i="19"/>
  <c r="E55" i="19"/>
  <c r="L53" i="19"/>
  <c r="E54" i="19"/>
  <c r="E58" i="19"/>
  <c r="E56" i="19"/>
  <c r="S57" i="19"/>
  <c r="S53" i="19"/>
  <c r="S54" i="19"/>
  <c r="S59" i="19"/>
  <c r="E53" i="19"/>
  <c r="L56" i="19"/>
  <c r="S56" i="19"/>
  <c r="L54" i="19"/>
  <c r="L58" i="19"/>
  <c r="L57" i="19"/>
  <c r="L59" i="19"/>
  <c r="S58" i="19"/>
  <c r="G53" i="19"/>
  <c r="G22" i="19"/>
  <c r="G21" i="19"/>
  <c r="I12" i="19"/>
  <c r="N39" i="18" l="1"/>
  <c r="I66" i="21"/>
  <c r="I65" i="21"/>
  <c r="I64" i="21"/>
  <c r="I53" i="21"/>
  <c r="N58" i="19"/>
  <c r="G57" i="19"/>
  <c r="G58" i="19"/>
  <c r="N59" i="19"/>
  <c r="G56" i="19"/>
  <c r="N57" i="19"/>
  <c r="N54" i="19"/>
  <c r="N55" i="19"/>
  <c r="N56" i="19"/>
  <c r="G54" i="19"/>
  <c r="G59" i="19"/>
  <c r="G55" i="19"/>
  <c r="U58" i="19"/>
  <c r="U53" i="19"/>
  <c r="U57" i="19"/>
  <c r="U55" i="19"/>
  <c r="U56" i="19"/>
  <c r="U54" i="19"/>
  <c r="U59" i="19"/>
  <c r="E4" i="2"/>
  <c r="E6" i="2"/>
  <c r="D7" i="2"/>
  <c r="O10" i="20"/>
  <c r="O20" i="20"/>
  <c r="O21" i="20"/>
  <c r="O22" i="20"/>
  <c r="O23" i="20"/>
  <c r="O39" i="20"/>
  <c r="F34" i="2"/>
  <c r="H34" i="2"/>
  <c r="F35" i="2"/>
  <c r="H35" i="2"/>
  <c r="F36" i="2"/>
  <c r="H36" i="2"/>
  <c r="F37" i="2"/>
  <c r="H37" i="2"/>
  <c r="M34" i="2"/>
  <c r="O34" i="2"/>
  <c r="M35" i="2"/>
  <c r="O35" i="2"/>
  <c r="M36" i="2"/>
  <c r="O36" i="2"/>
  <c r="M37" i="2"/>
  <c r="O37" i="2"/>
  <c r="AO34" i="2"/>
  <c r="AO35" i="2"/>
  <c r="AO36" i="2"/>
  <c r="AO37" i="2"/>
  <c r="AH34" i="2"/>
  <c r="AH35" i="2"/>
  <c r="AH36" i="2"/>
  <c r="AH37" i="2"/>
  <c r="AA34" i="2"/>
  <c r="AC34" i="2"/>
  <c r="AA35" i="2"/>
  <c r="AC35" i="2"/>
  <c r="AA36" i="2"/>
  <c r="AC36" i="2"/>
  <c r="AA37" i="2"/>
  <c r="AC37" i="2"/>
  <c r="T34" i="2"/>
  <c r="V34" i="2"/>
  <c r="T35" i="2"/>
  <c r="V35" i="2"/>
  <c r="T36" i="2"/>
  <c r="V36" i="2"/>
  <c r="T37" i="2"/>
  <c r="V37" i="2"/>
  <c r="AP6" i="22"/>
  <c r="AP7" i="22"/>
  <c r="AP8" i="22"/>
  <c r="AP9" i="22"/>
  <c r="AP10" i="22"/>
  <c r="AP14" i="22"/>
  <c r="AP15" i="22"/>
  <c r="AP16" i="22"/>
  <c r="AP17" i="22"/>
  <c r="AP18" i="22"/>
  <c r="AP19" i="22"/>
  <c r="AP20" i="22"/>
  <c r="AP21" i="22"/>
  <c r="AP22" i="22"/>
  <c r="AP23" i="22"/>
  <c r="AP25" i="22"/>
  <c r="AP26" i="22"/>
  <c r="AP4" i="22"/>
  <c r="AG6" i="22"/>
  <c r="AI6" i="22" s="1"/>
  <c r="AG7" i="22"/>
  <c r="AI7" i="22" s="1"/>
  <c r="AG8" i="22"/>
  <c r="AI8" i="22" s="1"/>
  <c r="AG9" i="22"/>
  <c r="AI9" i="22" s="1"/>
  <c r="AG10" i="22"/>
  <c r="AI10" i="22" s="1"/>
  <c r="AG14" i="22"/>
  <c r="AI14" i="22" s="1"/>
  <c r="AG15" i="22"/>
  <c r="AI15" i="22" s="1"/>
  <c r="AG16" i="22"/>
  <c r="AI16" i="22" s="1"/>
  <c r="AG17" i="22"/>
  <c r="AI17" i="22" s="1"/>
  <c r="AG18" i="22"/>
  <c r="AI18" i="22" s="1"/>
  <c r="AG19" i="22"/>
  <c r="AI19" i="22" s="1"/>
  <c r="AG20" i="22"/>
  <c r="AI20" i="22" s="1"/>
  <c r="AG21" i="22"/>
  <c r="AI21" i="22" s="1"/>
  <c r="AG22" i="22"/>
  <c r="AI22" i="22" s="1"/>
  <c r="AG23" i="22"/>
  <c r="AI23" i="22" s="1"/>
  <c r="AG25" i="22"/>
  <c r="AI25" i="22" s="1"/>
  <c r="AG26" i="22"/>
  <c r="AI26" i="22" s="1"/>
  <c r="AG4" i="22"/>
  <c r="AI4" i="22" s="1"/>
  <c r="Z6" i="22"/>
  <c r="AB6" i="22" s="1"/>
  <c r="Z7" i="22"/>
  <c r="AB7" i="22" s="1"/>
  <c r="Z8" i="22"/>
  <c r="AB8" i="22" s="1"/>
  <c r="Z9" i="22"/>
  <c r="AB9" i="22" s="1"/>
  <c r="Z10" i="22"/>
  <c r="AB10" i="22" s="1"/>
  <c r="Z11" i="22"/>
  <c r="AB11" i="22" s="1"/>
  <c r="Z14" i="22"/>
  <c r="AB14" i="22" s="1"/>
  <c r="Z15" i="22"/>
  <c r="AB15" i="22" s="1"/>
  <c r="Z16" i="22"/>
  <c r="AB16" i="22" s="1"/>
  <c r="Z17" i="22"/>
  <c r="AB17" i="22" s="1"/>
  <c r="Z18" i="22"/>
  <c r="AB18" i="22" s="1"/>
  <c r="Z19" i="22"/>
  <c r="AB19" i="22" s="1"/>
  <c r="Z20" i="22"/>
  <c r="AB20" i="22" s="1"/>
  <c r="Z21" i="22"/>
  <c r="AB21" i="22" s="1"/>
  <c r="Z22" i="22"/>
  <c r="AB22" i="22" s="1"/>
  <c r="Z23" i="22"/>
  <c r="AB23" i="22" s="1"/>
  <c r="Z25" i="22"/>
  <c r="AB25" i="22" s="1"/>
  <c r="Z26" i="22"/>
  <c r="AB26" i="22" s="1"/>
  <c r="Z4" i="22"/>
  <c r="AB4" i="22" s="1"/>
  <c r="S6" i="22"/>
  <c r="U6" i="22" s="1"/>
  <c r="S7" i="22"/>
  <c r="U7" i="22" s="1"/>
  <c r="S8" i="22"/>
  <c r="U8" i="22" s="1"/>
  <c r="S9" i="22"/>
  <c r="U9" i="22" s="1"/>
  <c r="S10" i="22"/>
  <c r="U10" i="22" s="1"/>
  <c r="S11" i="22"/>
  <c r="U11" i="22" s="1"/>
  <c r="S14" i="22"/>
  <c r="U14" i="22" s="1"/>
  <c r="S15" i="22"/>
  <c r="U15" i="22" s="1"/>
  <c r="S16" i="22"/>
  <c r="U16" i="22" s="1"/>
  <c r="S17" i="22"/>
  <c r="U17" i="22" s="1"/>
  <c r="S18" i="22"/>
  <c r="U18" i="22" s="1"/>
  <c r="S19" i="22"/>
  <c r="U19" i="22" s="1"/>
  <c r="S20" i="22"/>
  <c r="U20" i="22" s="1"/>
  <c r="S21" i="22"/>
  <c r="U21" i="22" s="1"/>
  <c r="S22" i="22"/>
  <c r="U22" i="22" s="1"/>
  <c r="S23" i="22"/>
  <c r="U23" i="22" s="1"/>
  <c r="S25" i="22"/>
  <c r="U25" i="22" s="1"/>
  <c r="S26" i="22"/>
  <c r="U26" i="22" s="1"/>
  <c r="S4" i="22"/>
  <c r="U4" i="22" s="1"/>
  <c r="L6" i="22"/>
  <c r="N6" i="22" s="1"/>
  <c r="L7" i="22"/>
  <c r="N7" i="22" s="1"/>
  <c r="L8" i="22"/>
  <c r="N8" i="22" s="1"/>
  <c r="L9" i="22"/>
  <c r="N9" i="22" s="1"/>
  <c r="L10" i="22"/>
  <c r="N10" i="22" s="1"/>
  <c r="L11" i="22"/>
  <c r="N11" i="22" s="1"/>
  <c r="L14" i="22"/>
  <c r="N14" i="22" s="1"/>
  <c r="L15" i="22"/>
  <c r="N15" i="22" s="1"/>
  <c r="L16" i="22"/>
  <c r="N16" i="22" s="1"/>
  <c r="L17" i="22"/>
  <c r="N17" i="22" s="1"/>
  <c r="L18" i="22"/>
  <c r="N18" i="22" s="1"/>
  <c r="L19" i="22"/>
  <c r="N19" i="22" s="1"/>
  <c r="L20" i="22"/>
  <c r="N20" i="22" s="1"/>
  <c r="L21" i="22"/>
  <c r="N21" i="22" s="1"/>
  <c r="L22" i="22"/>
  <c r="N22" i="22" s="1"/>
  <c r="L23" i="22"/>
  <c r="N23" i="22" s="1"/>
  <c r="N25" i="22"/>
  <c r="L26" i="22"/>
  <c r="N26" i="22" s="1"/>
  <c r="L4" i="22"/>
  <c r="N4" i="22" s="1"/>
  <c r="E6" i="22"/>
  <c r="G6" i="22" s="1"/>
  <c r="E7" i="22"/>
  <c r="G7" i="22" s="1"/>
  <c r="E8" i="22"/>
  <c r="G8" i="22" s="1"/>
  <c r="E9" i="22"/>
  <c r="G9" i="22" s="1"/>
  <c r="E10" i="22"/>
  <c r="G10" i="22" s="1"/>
  <c r="E11" i="22"/>
  <c r="G11" i="22" s="1"/>
  <c r="E14" i="22"/>
  <c r="G14" i="22" s="1"/>
  <c r="E15" i="22"/>
  <c r="G15" i="22" s="1"/>
  <c r="E16" i="22"/>
  <c r="G16" i="22" s="1"/>
  <c r="E17" i="22"/>
  <c r="G17" i="22" s="1"/>
  <c r="E18" i="22"/>
  <c r="G18" i="22" s="1"/>
  <c r="E19" i="22"/>
  <c r="G19" i="22" s="1"/>
  <c r="E20" i="22"/>
  <c r="G20" i="22" s="1"/>
  <c r="E21" i="22"/>
  <c r="G21" i="22" s="1"/>
  <c r="E22" i="22"/>
  <c r="G22" i="22" s="1"/>
  <c r="E23" i="22"/>
  <c r="G23" i="22" s="1"/>
  <c r="E25" i="22"/>
  <c r="G25" i="22" s="1"/>
  <c r="E26" i="22"/>
  <c r="G26" i="22" s="1"/>
  <c r="E4" i="22"/>
  <c r="G4" i="22" s="1"/>
  <c r="O16" i="20" l="1"/>
  <c r="O24" i="20" s="1"/>
  <c r="P10" i="20"/>
  <c r="O19" i="20"/>
  <c r="AP5" i="2" l="1"/>
  <c r="AP6" i="2"/>
  <c r="AP13" i="2"/>
  <c r="AP14" i="2"/>
  <c r="AP16" i="2"/>
  <c r="AP17" i="2"/>
  <c r="AP18" i="2"/>
  <c r="AP19" i="2"/>
  <c r="AP20" i="2"/>
  <c r="AP21" i="2"/>
  <c r="AP22" i="2"/>
  <c r="AP23" i="2"/>
  <c r="AP25" i="2"/>
  <c r="AP26" i="2"/>
  <c r="AP4" i="2"/>
  <c r="AG5" i="2"/>
  <c r="AI5" i="2" s="1"/>
  <c r="AG6" i="2"/>
  <c r="AI6" i="2" s="1"/>
  <c r="AG8" i="2"/>
  <c r="AG9" i="2"/>
  <c r="AG10" i="2"/>
  <c r="AG11" i="2"/>
  <c r="AI11" i="2" s="1"/>
  <c r="AG12" i="2"/>
  <c r="AG13" i="2"/>
  <c r="AI13" i="2" s="1"/>
  <c r="AG14" i="2"/>
  <c r="AI14" i="2" s="1"/>
  <c r="AG16" i="2"/>
  <c r="AI16" i="2" s="1"/>
  <c r="AG17" i="2"/>
  <c r="AI17" i="2" s="1"/>
  <c r="AG18" i="2"/>
  <c r="AI18" i="2" s="1"/>
  <c r="AG19" i="2"/>
  <c r="AI19" i="2" s="1"/>
  <c r="AG20" i="2"/>
  <c r="AI20" i="2" s="1"/>
  <c r="AG21" i="2"/>
  <c r="AI21" i="2" s="1"/>
  <c r="AG22" i="2"/>
  <c r="AI22" i="2" s="1"/>
  <c r="AG23" i="2"/>
  <c r="AI23" i="2" s="1"/>
  <c r="AG25" i="2"/>
  <c r="AI25" i="2" s="1"/>
  <c r="AG26" i="2"/>
  <c r="AI26" i="2" s="1"/>
  <c r="AG4" i="2"/>
  <c r="AI4" i="2" s="1"/>
  <c r="Z5" i="2"/>
  <c r="AB5" i="2" s="1"/>
  <c r="Z6" i="2"/>
  <c r="AB6" i="2" s="1"/>
  <c r="Z8" i="2"/>
  <c r="Z9" i="2"/>
  <c r="Z10" i="2"/>
  <c r="Z11" i="2"/>
  <c r="AB11" i="2" s="1"/>
  <c r="Z12" i="2"/>
  <c r="AB12" i="2" s="1"/>
  <c r="Z13" i="2"/>
  <c r="AB13" i="2" s="1"/>
  <c r="Z14" i="2"/>
  <c r="AB14" i="2" s="1"/>
  <c r="Z16" i="2"/>
  <c r="AB16" i="2" s="1"/>
  <c r="Z17" i="2"/>
  <c r="AB17" i="2" s="1"/>
  <c r="Z18" i="2"/>
  <c r="AB18" i="2" s="1"/>
  <c r="Z19" i="2"/>
  <c r="AB19" i="2" s="1"/>
  <c r="Z20" i="2"/>
  <c r="AB20" i="2" s="1"/>
  <c r="Z21" i="2"/>
  <c r="AB21" i="2" s="1"/>
  <c r="Z22" i="2"/>
  <c r="AB22" i="2" s="1"/>
  <c r="Z23" i="2"/>
  <c r="AB23" i="2" s="1"/>
  <c r="Z25" i="2"/>
  <c r="AB25" i="2" s="1"/>
  <c r="Z26" i="2"/>
  <c r="AB26" i="2" s="1"/>
  <c r="Z4" i="2"/>
  <c r="AB4" i="2" s="1"/>
  <c r="S5" i="2"/>
  <c r="U5" i="2" s="1"/>
  <c r="S6" i="2"/>
  <c r="U6" i="2" s="1"/>
  <c r="S8" i="2"/>
  <c r="S9" i="2"/>
  <c r="S10" i="2"/>
  <c r="S11" i="2"/>
  <c r="U11" i="2" s="1"/>
  <c r="S12" i="2"/>
  <c r="S14" i="2"/>
  <c r="U14" i="2" s="1"/>
  <c r="S16" i="2"/>
  <c r="U16" i="2" s="1"/>
  <c r="S17" i="2"/>
  <c r="U17" i="2" s="1"/>
  <c r="S18" i="2"/>
  <c r="U18" i="2" s="1"/>
  <c r="S19" i="2"/>
  <c r="U19" i="2" s="1"/>
  <c r="S20" i="2"/>
  <c r="U20" i="2" s="1"/>
  <c r="S21" i="2"/>
  <c r="U21" i="2" s="1"/>
  <c r="S22" i="2"/>
  <c r="U22" i="2" s="1"/>
  <c r="S23" i="2"/>
  <c r="U23" i="2" s="1"/>
  <c r="S25" i="2"/>
  <c r="U25" i="2" s="1"/>
  <c r="S26" i="2"/>
  <c r="U26" i="2" s="1"/>
  <c r="S4" i="2"/>
  <c r="U4" i="2" s="1"/>
  <c r="L5" i="2"/>
  <c r="N5" i="2" s="1"/>
  <c r="L6" i="2"/>
  <c r="N6" i="2" s="1"/>
  <c r="L8" i="2"/>
  <c r="L9" i="2"/>
  <c r="L10" i="2"/>
  <c r="L11" i="2"/>
  <c r="N11" i="2" s="1"/>
  <c r="L12" i="2"/>
  <c r="L14" i="2"/>
  <c r="N14" i="2" s="1"/>
  <c r="L16" i="2"/>
  <c r="N16" i="2" s="1"/>
  <c r="L17" i="2"/>
  <c r="N17" i="2" s="1"/>
  <c r="L18" i="2"/>
  <c r="N18" i="2" s="1"/>
  <c r="L19" i="2"/>
  <c r="N19" i="2" s="1"/>
  <c r="L20" i="2"/>
  <c r="N20" i="2" s="1"/>
  <c r="L21" i="2"/>
  <c r="N21" i="2" s="1"/>
  <c r="L22" i="2"/>
  <c r="N22" i="2" s="1"/>
  <c r="L23" i="2"/>
  <c r="N23" i="2" s="1"/>
  <c r="L25" i="2"/>
  <c r="N25" i="2" s="1"/>
  <c r="L26" i="2"/>
  <c r="N26" i="2" s="1"/>
  <c r="L4" i="2"/>
  <c r="N4" i="2" s="1"/>
  <c r="G6" i="2"/>
  <c r="E5" i="2"/>
  <c r="G5" i="2" s="1"/>
  <c r="E8" i="2"/>
  <c r="E9" i="2"/>
  <c r="E10" i="2"/>
  <c r="E11" i="2"/>
  <c r="G11" i="2" s="1"/>
  <c r="E12" i="2"/>
  <c r="E16" i="2"/>
  <c r="G16" i="2" s="1"/>
  <c r="E17" i="2"/>
  <c r="G17" i="2" s="1"/>
  <c r="E18" i="2"/>
  <c r="G18" i="2" s="1"/>
  <c r="E19" i="2"/>
  <c r="G19" i="2" s="1"/>
  <c r="E20" i="2"/>
  <c r="G20" i="2" s="1"/>
  <c r="E21" i="2"/>
  <c r="G21" i="2" s="1"/>
  <c r="E22" i="2"/>
  <c r="G22" i="2" s="1"/>
  <c r="E23" i="2"/>
  <c r="G23" i="2" s="1"/>
  <c r="E25" i="2"/>
  <c r="G25" i="2" s="1"/>
  <c r="E26" i="2"/>
  <c r="G26" i="2" s="1"/>
  <c r="G4" i="2"/>
  <c r="AK5" i="2"/>
  <c r="AK6" i="2"/>
  <c r="AK8" i="2"/>
  <c r="AK9" i="2"/>
  <c r="AK10" i="2"/>
  <c r="AK11" i="2"/>
  <c r="AK12" i="2"/>
  <c r="AK13" i="2"/>
  <c r="AK14" i="2"/>
  <c r="AK16" i="2"/>
  <c r="AK17" i="2"/>
  <c r="AK18" i="2"/>
  <c r="AK19" i="2"/>
  <c r="AK20" i="2"/>
  <c r="AK22" i="2"/>
  <c r="AK26" i="2"/>
  <c r="AK4" i="2"/>
  <c r="AD5" i="2"/>
  <c r="AD6" i="2"/>
  <c r="AD8" i="2"/>
  <c r="AD9" i="2"/>
  <c r="AD10" i="2"/>
  <c r="AD11" i="2"/>
  <c r="AD12" i="2"/>
  <c r="AD13" i="2"/>
  <c r="AD14" i="2"/>
  <c r="AD16" i="2"/>
  <c r="AD17" i="2"/>
  <c r="AD18" i="2"/>
  <c r="AD19" i="2"/>
  <c r="AD20" i="2"/>
  <c r="AD21" i="2"/>
  <c r="AD22" i="2"/>
  <c r="AD23" i="2"/>
  <c r="AD25" i="2"/>
  <c r="AD26" i="2"/>
  <c r="AD4" i="2"/>
  <c r="W5" i="2"/>
  <c r="W6" i="2"/>
  <c r="W8" i="2"/>
  <c r="W9" i="2"/>
  <c r="W10" i="2"/>
  <c r="W11" i="2"/>
  <c r="W12" i="2"/>
  <c r="W14" i="2"/>
  <c r="W16" i="2"/>
  <c r="W17" i="2"/>
  <c r="W18" i="2"/>
  <c r="W19" i="2"/>
  <c r="W20" i="2"/>
  <c r="W21" i="2"/>
  <c r="W22" i="2"/>
  <c r="W23" i="2"/>
  <c r="W25" i="2"/>
  <c r="W26" i="2"/>
  <c r="W4" i="2"/>
  <c r="P5" i="2"/>
  <c r="P6" i="2"/>
  <c r="P8" i="2"/>
  <c r="P9" i="2"/>
  <c r="P10" i="2"/>
  <c r="P11" i="2"/>
  <c r="P12" i="2"/>
  <c r="P14" i="2"/>
  <c r="P16" i="2"/>
  <c r="P17" i="2"/>
  <c r="P18" i="2"/>
  <c r="P19" i="2"/>
  <c r="P20" i="2"/>
  <c r="P21" i="2"/>
  <c r="P22" i="2"/>
  <c r="P23" i="2"/>
  <c r="P25" i="2"/>
  <c r="P26" i="2"/>
  <c r="P4" i="2"/>
  <c r="I6" i="2"/>
  <c r="I8" i="2"/>
  <c r="I9" i="2"/>
  <c r="I10" i="2"/>
  <c r="I11" i="2"/>
  <c r="I12" i="2"/>
  <c r="I14" i="2"/>
  <c r="I16" i="2"/>
  <c r="I17" i="2"/>
  <c r="I18" i="2"/>
  <c r="I19" i="2"/>
  <c r="I20" i="2"/>
  <c r="I21" i="2"/>
  <c r="I22" i="2"/>
  <c r="I23" i="2"/>
  <c r="I25" i="2"/>
  <c r="I26" i="2"/>
  <c r="I5" i="2"/>
  <c r="I4" i="2"/>
  <c r="U44" i="18"/>
  <c r="Q44" i="18"/>
  <c r="P44" i="18"/>
  <c r="N44" i="18"/>
  <c r="M44" i="18" s="1"/>
  <c r="M49" i="18" s="1"/>
  <c r="T44" i="18" l="1"/>
  <c r="T49" i="18" s="1"/>
  <c r="V44" i="18"/>
  <c r="R44" i="18"/>
  <c r="R49" i="18" s="1"/>
  <c r="O44" i="18"/>
  <c r="O49" i="18" s="1"/>
  <c r="AP9" i="2"/>
  <c r="G8" i="2"/>
  <c r="G34" i="2" s="1"/>
  <c r="E34" i="2"/>
  <c r="N12" i="2"/>
  <c r="AB10" i="2"/>
  <c r="AI12" i="2"/>
  <c r="AI37" i="2" s="1"/>
  <c r="AP8" i="2"/>
  <c r="Z35" i="2"/>
  <c r="E35" i="2"/>
  <c r="N10" i="2"/>
  <c r="N36" i="2" s="1"/>
  <c r="Z34" i="2"/>
  <c r="G9" i="2"/>
  <c r="S34" i="2"/>
  <c r="L35" i="2"/>
  <c r="U12" i="2"/>
  <c r="G12" i="2"/>
  <c r="E37" i="2"/>
  <c r="N8" i="2"/>
  <c r="N34" i="2" s="1"/>
  <c r="U10" i="2"/>
  <c r="AI9" i="2"/>
  <c r="G10" i="2"/>
  <c r="E36" i="2"/>
  <c r="U9" i="2"/>
  <c r="AI8" i="2"/>
  <c r="AP10" i="2"/>
  <c r="AG36" i="2"/>
  <c r="L34" i="2"/>
  <c r="AG35" i="2"/>
  <c r="AB37" i="2"/>
  <c r="AG34" i="2"/>
  <c r="N9" i="2"/>
  <c r="S37" i="2"/>
  <c r="Z37" i="2"/>
  <c r="L37" i="2"/>
  <c r="U8" i="2"/>
  <c r="AB9" i="2"/>
  <c r="S36" i="2"/>
  <c r="Z36" i="2"/>
  <c r="AB8" i="2"/>
  <c r="AG37" i="2"/>
  <c r="AI10" i="2"/>
  <c r="AP12" i="2"/>
  <c r="L36" i="2"/>
  <c r="S35" i="2"/>
  <c r="AO11" i="22"/>
  <c r="AM11" i="22"/>
  <c r="AL11" i="22"/>
  <c r="AK11" i="22"/>
  <c r="AH11" i="22"/>
  <c r="AF11" i="22"/>
  <c r="AE11" i="22"/>
  <c r="AC11" i="22"/>
  <c r="AG11" i="22" l="1"/>
  <c r="AI11" i="22" s="1"/>
  <c r="AP11" i="22"/>
  <c r="U37" i="2"/>
  <c r="AP36" i="2"/>
  <c r="AI35" i="2"/>
  <c r="U35" i="2"/>
  <c r="G35" i="2"/>
  <c r="AP34" i="2"/>
  <c r="AB36" i="2"/>
  <c r="G36" i="2"/>
  <c r="AI34" i="2"/>
  <c r="AP37" i="2"/>
  <c r="U36" i="2"/>
  <c r="N37" i="2"/>
  <c r="G37" i="2"/>
  <c r="AP35" i="2"/>
  <c r="U34" i="2"/>
  <c r="AI36" i="2"/>
  <c r="AB35" i="2"/>
  <c r="AB34" i="2"/>
  <c r="N35" i="2"/>
  <c r="R49" i="13"/>
  <c r="T39" i="20" l="1"/>
  <c r="W53" i="19" l="1"/>
  <c r="W57" i="19"/>
  <c r="W58" i="19"/>
  <c r="W54" i="19"/>
  <c r="W55" i="19"/>
  <c r="W59" i="19"/>
  <c r="W56" i="19"/>
  <c r="V54" i="19"/>
  <c r="V58" i="19"/>
  <c r="V55" i="19"/>
  <c r="V59" i="19"/>
  <c r="V57" i="19"/>
  <c r="V53" i="19"/>
  <c r="V42" i="13"/>
  <c r="AA42" i="13"/>
  <c r="V43" i="13"/>
  <c r="AA43" i="13"/>
  <c r="V44" i="13"/>
  <c r="AA44" i="13"/>
  <c r="V45" i="13"/>
  <c r="AA45" i="13"/>
  <c r="V46" i="13"/>
  <c r="AA46" i="13"/>
  <c r="V47" i="13"/>
  <c r="AA47" i="13"/>
  <c r="V48" i="13"/>
  <c r="AA48" i="13"/>
  <c r="S49" i="13"/>
  <c r="T49" i="13"/>
  <c r="U49" i="13"/>
  <c r="W49" i="13"/>
  <c r="X49" i="13"/>
  <c r="Y49" i="13"/>
  <c r="Z49" i="13"/>
  <c r="AB49" i="13"/>
  <c r="AC49" i="13"/>
  <c r="C39" i="18"/>
  <c r="D39" i="18"/>
  <c r="F39" i="18"/>
  <c r="H39" i="18"/>
  <c r="J39" i="18"/>
  <c r="K39" i="18"/>
  <c r="M39" i="18"/>
  <c r="O39" i="18"/>
  <c r="Q39" i="18"/>
  <c r="R39" i="18"/>
  <c r="T39" i="18"/>
  <c r="C54" i="19"/>
  <c r="C39" i="20"/>
  <c r="D39" i="20"/>
  <c r="F39" i="20"/>
  <c r="H39" i="20"/>
  <c r="J39" i="20"/>
  <c r="K39" i="20"/>
  <c r="M39" i="20"/>
  <c r="Q39" i="20"/>
  <c r="R39" i="20"/>
  <c r="G25" i="6"/>
  <c r="L25" i="6"/>
  <c r="Q24" i="21"/>
  <c r="H23" i="21"/>
  <c r="D20" i="21"/>
  <c r="F20" i="21"/>
  <c r="H20" i="21"/>
  <c r="I20" i="21"/>
  <c r="J20" i="21"/>
  <c r="K20" i="21"/>
  <c r="M20" i="21"/>
  <c r="O20" i="21"/>
  <c r="P20" i="21"/>
  <c r="Q20" i="21"/>
  <c r="R20" i="21"/>
  <c r="T20" i="21"/>
  <c r="D21" i="21"/>
  <c r="F21" i="21"/>
  <c r="H21" i="21"/>
  <c r="I21" i="21"/>
  <c r="J21" i="21"/>
  <c r="K21" i="21"/>
  <c r="M21" i="21"/>
  <c r="O21" i="21"/>
  <c r="P21" i="21"/>
  <c r="Q21" i="21"/>
  <c r="R21" i="21"/>
  <c r="T21" i="21"/>
  <c r="D22" i="21"/>
  <c r="F22" i="21"/>
  <c r="H22" i="21"/>
  <c r="I22" i="21"/>
  <c r="J22" i="21"/>
  <c r="K22" i="21"/>
  <c r="M22" i="21"/>
  <c r="O22" i="21"/>
  <c r="P22" i="21"/>
  <c r="Q22" i="21"/>
  <c r="R22" i="21"/>
  <c r="T22" i="21"/>
  <c r="D23" i="21"/>
  <c r="F23" i="21"/>
  <c r="I23" i="21"/>
  <c r="J23" i="21"/>
  <c r="K23" i="21"/>
  <c r="M23" i="21"/>
  <c r="O23" i="21"/>
  <c r="P23" i="21"/>
  <c r="Q23" i="21"/>
  <c r="R23" i="21"/>
  <c r="T23" i="21"/>
  <c r="D24" i="21"/>
  <c r="F24" i="21"/>
  <c r="H24" i="21"/>
  <c r="I24" i="21"/>
  <c r="J24" i="21"/>
  <c r="K24" i="21"/>
  <c r="M24" i="21"/>
  <c r="O24" i="21"/>
  <c r="P24" i="21"/>
  <c r="R24" i="21"/>
  <c r="T24" i="21"/>
  <c r="D25" i="21"/>
  <c r="F25" i="21"/>
  <c r="H25" i="21"/>
  <c r="I25" i="21"/>
  <c r="J25" i="21"/>
  <c r="K25" i="21"/>
  <c r="M25" i="21"/>
  <c r="O25" i="21"/>
  <c r="P25" i="21"/>
  <c r="Q25" i="21"/>
  <c r="R25" i="21"/>
  <c r="T25" i="21"/>
  <c r="C25" i="21"/>
  <c r="C24" i="21"/>
  <c r="C23" i="21"/>
  <c r="C22" i="21"/>
  <c r="C21" i="21"/>
  <c r="C20" i="21"/>
  <c r="D20" i="20"/>
  <c r="F20" i="20"/>
  <c r="H20" i="20"/>
  <c r="J20" i="20"/>
  <c r="K20" i="20"/>
  <c r="M20" i="20"/>
  <c r="Q20" i="20"/>
  <c r="R20" i="20"/>
  <c r="T20" i="20"/>
  <c r="D21" i="20"/>
  <c r="F21" i="20"/>
  <c r="H21" i="20"/>
  <c r="J21" i="20"/>
  <c r="K21" i="20"/>
  <c r="M21" i="20"/>
  <c r="Q21" i="20"/>
  <c r="R21" i="20"/>
  <c r="T21" i="20"/>
  <c r="D22" i="20"/>
  <c r="F22" i="20"/>
  <c r="H22" i="20"/>
  <c r="J22" i="20"/>
  <c r="K22" i="20"/>
  <c r="M22" i="20"/>
  <c r="Q22" i="20"/>
  <c r="R22" i="20"/>
  <c r="T22" i="20"/>
  <c r="D23" i="20"/>
  <c r="F23" i="20"/>
  <c r="H23" i="20"/>
  <c r="J23" i="20"/>
  <c r="K23" i="20"/>
  <c r="M23" i="20"/>
  <c r="Q23" i="20"/>
  <c r="R23" i="20"/>
  <c r="T23" i="20"/>
  <c r="T24" i="20"/>
  <c r="C23" i="20"/>
  <c r="C22" i="20"/>
  <c r="C21" i="20"/>
  <c r="C20" i="20"/>
  <c r="T24" i="19"/>
  <c r="D20" i="19"/>
  <c r="F20" i="19"/>
  <c r="H20" i="19"/>
  <c r="J20" i="19"/>
  <c r="K20" i="19"/>
  <c r="M20" i="19"/>
  <c r="O20" i="19"/>
  <c r="Q20" i="19"/>
  <c r="R20" i="19"/>
  <c r="T20" i="19"/>
  <c r="D21" i="19"/>
  <c r="F21" i="19"/>
  <c r="H21" i="19"/>
  <c r="J21" i="19"/>
  <c r="K21" i="19"/>
  <c r="M21" i="19"/>
  <c r="O21" i="19"/>
  <c r="Q21" i="19"/>
  <c r="R21" i="19"/>
  <c r="T21" i="19"/>
  <c r="D22" i="19"/>
  <c r="F22" i="19"/>
  <c r="H22" i="19"/>
  <c r="J22" i="19"/>
  <c r="K22" i="19"/>
  <c r="M22" i="19"/>
  <c r="O22" i="19"/>
  <c r="Q22" i="19"/>
  <c r="R22" i="19"/>
  <c r="T22" i="19"/>
  <c r="D23" i="19"/>
  <c r="F23" i="19"/>
  <c r="H23" i="19"/>
  <c r="J23" i="19"/>
  <c r="K23" i="19"/>
  <c r="M23" i="19"/>
  <c r="O23" i="19"/>
  <c r="Q23" i="19"/>
  <c r="R23" i="19"/>
  <c r="T23" i="19"/>
  <c r="C23" i="19"/>
  <c r="C22" i="19"/>
  <c r="C21" i="19"/>
  <c r="C20" i="19"/>
  <c r="D21" i="18"/>
  <c r="F21" i="18"/>
  <c r="H21" i="18"/>
  <c r="J21" i="18"/>
  <c r="K21" i="18"/>
  <c r="M21" i="18"/>
  <c r="O21" i="18"/>
  <c r="Q21" i="18"/>
  <c r="R21" i="18"/>
  <c r="T21" i="18"/>
  <c r="C21" i="18"/>
  <c r="D22" i="18"/>
  <c r="F22" i="18"/>
  <c r="H22" i="18"/>
  <c r="J22" i="18"/>
  <c r="K22" i="18"/>
  <c r="M22" i="18"/>
  <c r="O22" i="18"/>
  <c r="Q22" i="18"/>
  <c r="R22" i="18"/>
  <c r="T22" i="18"/>
  <c r="C22" i="18"/>
  <c r="D23" i="18"/>
  <c r="F23" i="18"/>
  <c r="H23" i="18"/>
  <c r="J23" i="18"/>
  <c r="K23" i="18"/>
  <c r="M23" i="18"/>
  <c r="O23" i="18"/>
  <c r="Q23" i="18"/>
  <c r="R23" i="18"/>
  <c r="T23" i="18"/>
  <c r="C23" i="18"/>
  <c r="O20" i="18"/>
  <c r="Q20" i="18"/>
  <c r="R20" i="18"/>
  <c r="T20" i="18"/>
  <c r="D20" i="18"/>
  <c r="F20" i="18"/>
  <c r="H20" i="18"/>
  <c r="J20" i="18"/>
  <c r="K20" i="18"/>
  <c r="M20" i="18"/>
  <c r="C20" i="18"/>
  <c r="G31" i="6" l="1"/>
  <c r="L31" i="6"/>
  <c r="T66" i="21"/>
  <c r="T53" i="21"/>
  <c r="T64" i="21"/>
  <c r="T54" i="21"/>
  <c r="T65" i="21"/>
  <c r="R53" i="21"/>
  <c r="R66" i="21"/>
  <c r="R65" i="21"/>
  <c r="R64" i="21"/>
  <c r="R54" i="21"/>
  <c r="Q65" i="21"/>
  <c r="Q64" i="21"/>
  <c r="Q54" i="21"/>
  <c r="Q66" i="21"/>
  <c r="Q53" i="21"/>
  <c r="O54" i="21"/>
  <c r="O64" i="21"/>
  <c r="O66" i="21"/>
  <c r="M54" i="21"/>
  <c r="M53" i="21"/>
  <c r="M65" i="21"/>
  <c r="M66" i="21"/>
  <c r="M64" i="21"/>
  <c r="J53" i="21"/>
  <c r="J64" i="21"/>
  <c r="J66" i="21"/>
  <c r="J54" i="21"/>
  <c r="J65" i="21"/>
  <c r="K65" i="21"/>
  <c r="K66" i="21"/>
  <c r="K54" i="21"/>
  <c r="K53" i="21"/>
  <c r="K64" i="21"/>
  <c r="H53" i="21"/>
  <c r="H65" i="21"/>
  <c r="H66" i="21"/>
  <c r="H54" i="21"/>
  <c r="H64" i="21"/>
  <c r="F54" i="21"/>
  <c r="F66" i="21"/>
  <c r="F53" i="21"/>
  <c r="F65" i="21"/>
  <c r="F64" i="21"/>
  <c r="C53" i="21"/>
  <c r="C64" i="21"/>
  <c r="C65" i="21"/>
  <c r="C54" i="21"/>
  <c r="C66" i="21"/>
  <c r="C58" i="21"/>
  <c r="H55" i="19"/>
  <c r="H56" i="19"/>
  <c r="H58" i="19"/>
  <c r="H59" i="19"/>
  <c r="H54" i="19"/>
  <c r="H57" i="19"/>
  <c r="H53" i="19"/>
  <c r="T56" i="19"/>
  <c r="T58" i="19"/>
  <c r="T57" i="19"/>
  <c r="T59" i="19"/>
  <c r="T53" i="19"/>
  <c r="T54" i="19"/>
  <c r="T55" i="19"/>
  <c r="F55" i="19"/>
  <c r="F59" i="19"/>
  <c r="F56" i="19"/>
  <c r="F58" i="19"/>
  <c r="F53" i="19"/>
  <c r="F57" i="19"/>
  <c r="F54" i="19"/>
  <c r="Q58" i="19"/>
  <c r="Q59" i="19"/>
  <c r="Q53" i="19"/>
  <c r="Q57" i="19"/>
  <c r="Q54" i="19"/>
  <c r="Q55" i="19"/>
  <c r="Q56" i="19"/>
  <c r="C59" i="19"/>
  <c r="C55" i="19"/>
  <c r="C53" i="19"/>
  <c r="C56" i="19"/>
  <c r="C57" i="19"/>
  <c r="C58" i="19"/>
  <c r="R57" i="19"/>
  <c r="R59" i="19"/>
  <c r="R58" i="19"/>
  <c r="R53" i="19"/>
  <c r="R55" i="19"/>
  <c r="R56" i="19"/>
  <c r="R54" i="19"/>
  <c r="O53" i="19"/>
  <c r="O54" i="19"/>
  <c r="O59" i="19"/>
  <c r="O55" i="19"/>
  <c r="O58" i="19"/>
  <c r="O56" i="19"/>
  <c r="O57" i="19"/>
  <c r="D58" i="19"/>
  <c r="D56" i="19"/>
  <c r="D53" i="19"/>
  <c r="D57" i="19"/>
  <c r="D59" i="19"/>
  <c r="M53" i="19"/>
  <c r="M55" i="19"/>
  <c r="M54" i="19"/>
  <c r="M56" i="19"/>
  <c r="M57" i="19"/>
  <c r="M58" i="19"/>
  <c r="M59" i="19"/>
  <c r="K54" i="19"/>
  <c r="K55" i="19"/>
  <c r="K56" i="19"/>
  <c r="K57" i="19"/>
  <c r="K58" i="19"/>
  <c r="K59" i="19"/>
  <c r="K53" i="19"/>
  <c r="J55" i="19"/>
  <c r="J57" i="19"/>
  <c r="J54" i="19"/>
  <c r="J56" i="19"/>
  <c r="J58" i="19"/>
  <c r="J59" i="19"/>
  <c r="J53" i="19"/>
  <c r="I39" i="20"/>
  <c r="I53" i="19"/>
  <c r="P53" i="19"/>
  <c r="P39" i="18"/>
  <c r="V49" i="13"/>
  <c r="AA49" i="13"/>
  <c r="I57" i="19" l="1"/>
  <c r="I56" i="19"/>
  <c r="I55" i="19"/>
  <c r="P58" i="19"/>
  <c r="P55" i="19"/>
  <c r="P57" i="19"/>
  <c r="I59" i="19"/>
  <c r="P59" i="19"/>
  <c r="I54" i="19"/>
  <c r="P56" i="19"/>
  <c r="I58" i="19"/>
  <c r="P54" i="19"/>
  <c r="T10" i="20" l="1"/>
  <c r="T19" i="20" s="1"/>
  <c r="R10" i="20"/>
  <c r="Q10" i="20"/>
  <c r="M10" i="20"/>
  <c r="K10" i="20"/>
  <c r="J10" i="20"/>
  <c r="H10" i="20"/>
  <c r="I10" i="20" s="1"/>
  <c r="F10" i="20"/>
  <c r="D10" i="20"/>
  <c r="D19" i="20" s="1"/>
  <c r="C10" i="20"/>
  <c r="T10" i="19"/>
  <c r="T19" i="19" s="1"/>
  <c r="R10" i="19"/>
  <c r="Q10" i="19"/>
  <c r="O10" i="19"/>
  <c r="M10" i="19"/>
  <c r="K10" i="19"/>
  <c r="J10" i="19"/>
  <c r="H10" i="19"/>
  <c r="F10" i="19"/>
  <c r="D10" i="19"/>
  <c r="C10" i="19"/>
  <c r="T10" i="18"/>
  <c r="R10" i="18"/>
  <c r="Q10" i="18"/>
  <c r="S10" i="18" s="1"/>
  <c r="M10" i="18"/>
  <c r="K10" i="18"/>
  <c r="J10" i="18"/>
  <c r="L10" i="18" s="1"/>
  <c r="H10" i="18"/>
  <c r="F10" i="18"/>
  <c r="D10" i="18"/>
  <c r="D19" i="18" s="1"/>
  <c r="C10" i="18"/>
  <c r="E10" i="18" s="1"/>
  <c r="U10" i="18" l="1"/>
  <c r="S19" i="18"/>
  <c r="G10" i="18"/>
  <c r="E19" i="18"/>
  <c r="N10" i="18"/>
  <c r="N19" i="18" s="1"/>
  <c r="L19" i="18"/>
  <c r="L10" i="19"/>
  <c r="L19" i="19" s="1"/>
  <c r="E10" i="19"/>
  <c r="E19" i="19" s="1"/>
  <c r="S10" i="19"/>
  <c r="P23" i="20"/>
  <c r="P20" i="19"/>
  <c r="P20" i="18"/>
  <c r="P21" i="18"/>
  <c r="H16" i="19"/>
  <c r="H24" i="19" s="1"/>
  <c r="H19" i="19"/>
  <c r="I20" i="19"/>
  <c r="J16" i="19"/>
  <c r="J19" i="19"/>
  <c r="K16" i="19"/>
  <c r="K24" i="19" s="1"/>
  <c r="K19" i="19"/>
  <c r="I21" i="19"/>
  <c r="M16" i="19"/>
  <c r="M24" i="19" s="1"/>
  <c r="M19" i="19"/>
  <c r="P21" i="19"/>
  <c r="O16" i="19"/>
  <c r="O24" i="19" s="1"/>
  <c r="O19" i="19"/>
  <c r="I22" i="19"/>
  <c r="Q16" i="19"/>
  <c r="Q19" i="19"/>
  <c r="P22" i="19"/>
  <c r="D16" i="19"/>
  <c r="D24" i="19" s="1"/>
  <c r="D19" i="19"/>
  <c r="R16" i="19"/>
  <c r="R24" i="19" s="1"/>
  <c r="R19" i="19"/>
  <c r="I23" i="19"/>
  <c r="F16" i="19"/>
  <c r="F24" i="19" s="1"/>
  <c r="F19" i="19"/>
  <c r="P23" i="19"/>
  <c r="P20" i="20"/>
  <c r="P21" i="20"/>
  <c r="P23" i="18"/>
  <c r="I21" i="18"/>
  <c r="I22" i="18"/>
  <c r="P22" i="18"/>
  <c r="I23" i="18"/>
  <c r="I20" i="18"/>
  <c r="K16" i="20"/>
  <c r="K24" i="20" s="1"/>
  <c r="K19" i="20"/>
  <c r="I21" i="20"/>
  <c r="H16" i="20"/>
  <c r="H24" i="20" s="1"/>
  <c r="H19" i="20"/>
  <c r="J16" i="20"/>
  <c r="J19" i="20"/>
  <c r="M16" i="20"/>
  <c r="M24" i="20" s="1"/>
  <c r="M19" i="20"/>
  <c r="I22" i="20"/>
  <c r="Q16" i="20"/>
  <c r="Q19" i="20"/>
  <c r="P22" i="20"/>
  <c r="F16" i="20"/>
  <c r="F24" i="20" s="1"/>
  <c r="F19" i="20"/>
  <c r="D16" i="20"/>
  <c r="D24" i="20" s="1"/>
  <c r="R16" i="20"/>
  <c r="R24" i="20" s="1"/>
  <c r="R19" i="20"/>
  <c r="I23" i="20"/>
  <c r="C16" i="20"/>
  <c r="C19" i="20"/>
  <c r="C16" i="19"/>
  <c r="C19" i="19"/>
  <c r="K16" i="18"/>
  <c r="K24" i="18" s="1"/>
  <c r="K19" i="18"/>
  <c r="J16" i="18"/>
  <c r="J19" i="18"/>
  <c r="M16" i="18"/>
  <c r="M24" i="18" s="1"/>
  <c r="M19" i="18"/>
  <c r="O24" i="18"/>
  <c r="O19" i="18"/>
  <c r="C16" i="18"/>
  <c r="C19" i="18"/>
  <c r="Q16" i="18"/>
  <c r="Q19" i="18"/>
  <c r="D16" i="18"/>
  <c r="D24" i="18" s="1"/>
  <c r="R16" i="18"/>
  <c r="R24" i="18" s="1"/>
  <c r="R19" i="18"/>
  <c r="F16" i="18"/>
  <c r="F24" i="18" s="1"/>
  <c r="F19" i="18"/>
  <c r="T16" i="18"/>
  <c r="T24" i="18" s="1"/>
  <c r="T19" i="18"/>
  <c r="H16" i="18"/>
  <c r="H24" i="18" s="1"/>
  <c r="H19" i="18"/>
  <c r="P16" i="18"/>
  <c r="U19" i="18" l="1"/>
  <c r="V10" i="18"/>
  <c r="V19" i="18" s="1"/>
  <c r="Q24" i="18"/>
  <c r="S16" i="18"/>
  <c r="J24" i="18"/>
  <c r="L16" i="18"/>
  <c r="I10" i="18"/>
  <c r="G19" i="18"/>
  <c r="C24" i="18"/>
  <c r="E16" i="18"/>
  <c r="J24" i="20"/>
  <c r="L16" i="20"/>
  <c r="C24" i="20"/>
  <c r="E16" i="20"/>
  <c r="Q24" i="20"/>
  <c r="S16" i="20"/>
  <c r="N10" i="19"/>
  <c r="P10" i="19" s="1"/>
  <c r="P19" i="19" s="1"/>
  <c r="Q24" i="19"/>
  <c r="S16" i="19"/>
  <c r="J24" i="19"/>
  <c r="L16" i="19"/>
  <c r="G10" i="19"/>
  <c r="I10" i="19" s="1"/>
  <c r="I19" i="19" s="1"/>
  <c r="U10" i="19"/>
  <c r="S19" i="19"/>
  <c r="C24" i="19"/>
  <c r="E16" i="19"/>
  <c r="P19" i="20"/>
  <c r="I19" i="20"/>
  <c r="P24" i="18"/>
  <c r="P19" i="18"/>
  <c r="I19" i="18"/>
  <c r="U19" i="19" l="1"/>
  <c r="V10" i="19"/>
  <c r="V19" i="19" s="1"/>
  <c r="E24" i="18"/>
  <c r="G16" i="18"/>
  <c r="N16" i="18"/>
  <c r="N24" i="18" s="1"/>
  <c r="L24" i="18"/>
  <c r="U16" i="18"/>
  <c r="S24" i="18"/>
  <c r="N19" i="19"/>
  <c r="E24" i="20"/>
  <c r="G16" i="20"/>
  <c r="U16" i="20"/>
  <c r="S24" i="20"/>
  <c r="L24" i="20"/>
  <c r="N16" i="20"/>
  <c r="G19" i="19"/>
  <c r="N16" i="19"/>
  <c r="L24" i="19"/>
  <c r="S24" i="19"/>
  <c r="U16" i="19"/>
  <c r="G16" i="19"/>
  <c r="E24" i="19"/>
  <c r="U24" i="18" l="1"/>
  <c r="V16" i="18"/>
  <c r="V24" i="18" s="1"/>
  <c r="U24" i="20"/>
  <c r="V16" i="20"/>
  <c r="V24" i="20" s="1"/>
  <c r="U24" i="19"/>
  <c r="V16" i="19"/>
  <c r="V24" i="19" s="1"/>
  <c r="G24" i="18"/>
  <c r="I16" i="18"/>
  <c r="I24" i="18" s="1"/>
  <c r="P16" i="20"/>
  <c r="P24" i="20" s="1"/>
  <c r="N24" i="20"/>
  <c r="G24" i="20"/>
  <c r="I16" i="20"/>
  <c r="I24" i="20" s="1"/>
  <c r="P16" i="19"/>
  <c r="P24" i="19" s="1"/>
  <c r="N24" i="19"/>
  <c r="I16" i="19"/>
  <c r="I24" i="19" s="1"/>
  <c r="G24" i="19"/>
  <c r="C7" i="2"/>
  <c r="C34" i="2"/>
  <c r="C35" i="2"/>
  <c r="C36" i="2"/>
  <c r="C37" i="2"/>
  <c r="AR37" i="2"/>
  <c r="AR36" i="2"/>
  <c r="AQ36" i="2"/>
  <c r="AR35" i="2"/>
  <c r="AQ35" i="2"/>
  <c r="AR34" i="2"/>
  <c r="AQ34" i="2"/>
  <c r="C15" i="2" l="1"/>
  <c r="C33" i="2"/>
  <c r="AR38" i="2"/>
  <c r="AQ33" i="2"/>
  <c r="AR33" i="2"/>
  <c r="C38" i="2" l="1"/>
  <c r="AQ38" i="2"/>
  <c r="D33" i="2" l="1"/>
  <c r="E7" i="2"/>
  <c r="AO7" i="2"/>
  <c r="AO33" i="2" l="1"/>
  <c r="E33" i="2"/>
  <c r="AO15" i="2"/>
  <c r="AO38" i="2" l="1"/>
  <c r="C16" i="6"/>
  <c r="N16" i="6" l="1"/>
  <c r="AM34" i="2"/>
  <c r="AM35" i="2"/>
  <c r="AM36" i="2"/>
  <c r="AM37" i="2"/>
  <c r="AM7" i="2"/>
  <c r="AM33" i="2" l="1"/>
  <c r="AM15" i="2"/>
  <c r="AM38" i="2" l="1"/>
  <c r="M16" i="6"/>
  <c r="AL37" i="2" l="1"/>
  <c r="AL36" i="2"/>
  <c r="AL35" i="2"/>
  <c r="AL34" i="2"/>
  <c r="AL11" i="2" l="1"/>
  <c r="AP11" i="2" s="1"/>
  <c r="AL7" i="2"/>
  <c r="AL33" i="2" l="1"/>
  <c r="AL15" i="2"/>
  <c r="K16" i="6"/>
  <c r="J16" i="6"/>
  <c r="I16" i="6"/>
  <c r="H16" i="6"/>
  <c r="F16" i="6"/>
  <c r="E16" i="6"/>
  <c r="D16" i="6"/>
  <c r="L12" i="6"/>
  <c r="L13" i="6"/>
  <c r="G12" i="6"/>
  <c r="G13" i="6"/>
  <c r="AP33" i="2" l="1"/>
  <c r="AL38" i="2"/>
  <c r="L7" i="6"/>
  <c r="G7" i="6"/>
  <c r="AP15" i="2" l="1"/>
  <c r="L9" i="6"/>
  <c r="G9" i="6"/>
  <c r="L11" i="6"/>
  <c r="G11" i="6"/>
  <c r="L8" i="6"/>
  <c r="G8" i="6"/>
  <c r="L6" i="6"/>
  <c r="G6" i="6"/>
  <c r="L5" i="6"/>
  <c r="G5" i="6"/>
  <c r="AP38" i="2" l="1"/>
  <c r="L16" i="6"/>
  <c r="G16" i="6"/>
  <c r="AJ37" i="2" l="1"/>
  <c r="AF37" i="2"/>
  <c r="AE37" i="2"/>
  <c r="Y37" i="2"/>
  <c r="X37" i="2"/>
  <c r="R37" i="2"/>
  <c r="Q37" i="2"/>
  <c r="K37" i="2"/>
  <c r="J37" i="2"/>
  <c r="D37" i="2"/>
  <c r="AJ36" i="2"/>
  <c r="AF36" i="2"/>
  <c r="AE36" i="2"/>
  <c r="Y36" i="2"/>
  <c r="X36" i="2"/>
  <c r="R36" i="2"/>
  <c r="Q36" i="2"/>
  <c r="K36" i="2"/>
  <c r="J36" i="2"/>
  <c r="D36" i="2"/>
  <c r="AJ35" i="2"/>
  <c r="AF35" i="2"/>
  <c r="AE35" i="2"/>
  <c r="Y35" i="2"/>
  <c r="X35" i="2"/>
  <c r="R35" i="2"/>
  <c r="Q35" i="2"/>
  <c r="K35" i="2"/>
  <c r="J35" i="2"/>
  <c r="D35" i="2"/>
  <c r="AJ34" i="2"/>
  <c r="AF34" i="2"/>
  <c r="AE34" i="2"/>
  <c r="Y34" i="2"/>
  <c r="X34" i="2"/>
  <c r="R34" i="2"/>
  <c r="Q34" i="2"/>
  <c r="K34" i="2"/>
  <c r="J34" i="2"/>
  <c r="D34" i="2"/>
  <c r="AJ7" i="2"/>
  <c r="AH7" i="2"/>
  <c r="AF7" i="2"/>
  <c r="AE7" i="2"/>
  <c r="AC7" i="2"/>
  <c r="AA7" i="2"/>
  <c r="Y7" i="2"/>
  <c r="X7" i="2"/>
  <c r="V7" i="2"/>
  <c r="T7" i="2"/>
  <c r="R7" i="2"/>
  <c r="Q7" i="2"/>
  <c r="O7" i="2"/>
  <c r="M7" i="2"/>
  <c r="K7" i="2"/>
  <c r="J7" i="2"/>
  <c r="H7" i="2"/>
  <c r="F7" i="2"/>
  <c r="AH33" i="2" l="1"/>
  <c r="H33" i="2"/>
  <c r="AA33" i="2"/>
  <c r="T33" i="2"/>
  <c r="V33" i="2"/>
  <c r="M33" i="2"/>
  <c r="O33" i="2"/>
  <c r="AC33" i="2"/>
  <c r="I7" i="2"/>
  <c r="G7" i="2"/>
  <c r="P7" i="2"/>
  <c r="L7" i="2"/>
  <c r="W7" i="2"/>
  <c r="S7" i="2"/>
  <c r="AK7" i="2"/>
  <c r="AG7" i="2"/>
  <c r="Z7" i="2"/>
  <c r="AD7" i="2"/>
  <c r="AF15" i="2"/>
  <c r="V15" i="2"/>
  <c r="K15" i="2"/>
  <c r="J15" i="2"/>
  <c r="I34" i="2"/>
  <c r="I36" i="2"/>
  <c r="R15" i="2"/>
  <c r="H15" i="2"/>
  <c r="AA15" i="2"/>
  <c r="AD37" i="2"/>
  <c r="AK35" i="2"/>
  <c r="AC15" i="2"/>
  <c r="AD34" i="2"/>
  <c r="P36" i="2"/>
  <c r="D15" i="2"/>
  <c r="I37" i="2"/>
  <c r="F15" i="2"/>
  <c r="Q15" i="2"/>
  <c r="W34" i="2"/>
  <c r="T15" i="2"/>
  <c r="AE15" i="2"/>
  <c r="AG15" i="2" s="1"/>
  <c r="Y33" i="2"/>
  <c r="W35" i="2"/>
  <c r="W36" i="2"/>
  <c r="W37" i="2"/>
  <c r="K33" i="2"/>
  <c r="X33" i="2"/>
  <c r="AD35" i="2"/>
  <c r="AK34" i="2"/>
  <c r="AH15" i="2"/>
  <c r="F33" i="2"/>
  <c r="Q33" i="2"/>
  <c r="P34" i="2"/>
  <c r="AK36" i="2"/>
  <c r="AK37" i="2"/>
  <c r="P37" i="2"/>
  <c r="I35" i="2"/>
  <c r="M15" i="2"/>
  <c r="X15" i="2"/>
  <c r="AJ15" i="2"/>
  <c r="R33" i="2"/>
  <c r="P35" i="2"/>
  <c r="AJ33" i="2"/>
  <c r="O15" i="2"/>
  <c r="Y15" i="2"/>
  <c r="AE33" i="2"/>
  <c r="J33" i="2"/>
  <c r="AF33" i="2"/>
  <c r="AD36" i="2"/>
  <c r="H38" i="2" l="1"/>
  <c r="F38" i="2"/>
  <c r="AC38" i="2"/>
  <c r="V38" i="2"/>
  <c r="O38" i="2"/>
  <c r="AH38" i="2"/>
  <c r="T38" i="2"/>
  <c r="M38" i="2"/>
  <c r="AA38" i="2"/>
  <c r="Z33" i="2"/>
  <c r="AB7" i="2"/>
  <c r="Z15" i="2"/>
  <c r="AD15" i="2"/>
  <c r="P15" i="2"/>
  <c r="L15" i="2"/>
  <c r="AG33" i="2"/>
  <c r="AI7" i="2"/>
  <c r="S33" i="2"/>
  <c r="U7" i="2"/>
  <c r="AK15" i="2"/>
  <c r="L33" i="2"/>
  <c r="N7" i="2"/>
  <c r="W15" i="2"/>
  <c r="S15" i="2"/>
  <c r="I15" i="2"/>
  <c r="E15" i="2"/>
  <c r="G33" i="2"/>
  <c r="AF38" i="2"/>
  <c r="J38" i="2"/>
  <c r="K38" i="2"/>
  <c r="P33" i="2"/>
  <c r="D38" i="2"/>
  <c r="R38" i="2"/>
  <c r="W33" i="2"/>
  <c r="Q38" i="2"/>
  <c r="AE38" i="2"/>
  <c r="AD33" i="2"/>
  <c r="AK33" i="2"/>
  <c r="Y38" i="2"/>
  <c r="I33" i="2"/>
  <c r="X38" i="2"/>
  <c r="AJ38" i="2"/>
  <c r="G15" i="2" l="1"/>
  <c r="E38" i="2"/>
  <c r="AG38" i="2"/>
  <c r="AI15" i="2"/>
  <c r="L38" i="2"/>
  <c r="N15" i="2"/>
  <c r="U33" i="2"/>
  <c r="S38" i="2"/>
  <c r="U15" i="2"/>
  <c r="AI33" i="2"/>
  <c r="Z38" i="2"/>
  <c r="AB15" i="2"/>
  <c r="AB33" i="2"/>
  <c r="N33" i="2"/>
  <c r="P38" i="2"/>
  <c r="W38" i="2"/>
  <c r="I38" i="2"/>
  <c r="AK38" i="2"/>
  <c r="AD38" i="2"/>
  <c r="G38" i="2" l="1"/>
  <c r="AB38" i="2"/>
  <c r="U38" i="2"/>
  <c r="N38" i="2"/>
  <c r="AI38" i="2"/>
  <c r="R45" i="20" l="1"/>
  <c r="R46" i="20" s="1"/>
  <c r="Q46" i="20"/>
  <c r="AG16" i="4" l="1"/>
  <c r="AH19" i="4" s="1"/>
  <c r="AH18" i="4" l="1"/>
  <c r="AH20" i="4"/>
  <c r="AH21" i="4"/>
  <c r="AH17" i="4"/>
  <c r="AH16" i="4"/>
  <c r="AG28" i="4"/>
  <c r="AH33" i="4" l="1"/>
  <c r="AH28" i="4"/>
  <c r="AH31" i="4"/>
  <c r="AH30" i="4"/>
  <c r="AH32" i="4"/>
  <c r="AH29" i="4"/>
  <c r="AG35" i="4"/>
  <c r="AJ9" i="4" l="1"/>
  <c r="AJ32" i="4" l="1"/>
  <c r="AJ30" i="4"/>
  <c r="AJ33" i="4"/>
  <c r="O53" i="21"/>
  <c r="O57" i="21" l="1"/>
  <c r="P38" i="21"/>
  <c r="P59" i="21"/>
  <c r="O65" i="21"/>
  <c r="P47" i="21"/>
  <c r="P62" i="21" l="1"/>
  <c r="P53" i="21"/>
  <c r="P56" i="21"/>
  <c r="P54" i="21"/>
  <c r="P64" i="21"/>
  <c r="P61" i="21"/>
  <c r="P66" i="21"/>
  <c r="P57" i="21"/>
  <c r="P65" i="21"/>
  <c r="P55" i="21"/>
  <c r="P58" i="21"/>
  <c r="O60" i="21"/>
  <c r="P42" i="21"/>
  <c r="P60" i="21"/>
</calcChain>
</file>

<file path=xl/sharedStrings.xml><?xml version="1.0" encoding="utf-8"?>
<sst xmlns="http://schemas.openxmlformats.org/spreadsheetml/2006/main" count="5701" uniqueCount="1185">
  <si>
    <t>Analyst information tables</t>
  </si>
  <si>
    <t>Contents (Please click on to view)</t>
  </si>
  <si>
    <t xml:space="preserve">1. Financial Highlights </t>
  </si>
  <si>
    <t>(Selected consolidated business metrics, Pharma segment revenues by region)</t>
  </si>
  <si>
    <t xml:space="preserve">2. Profit and Loss </t>
  </si>
  <si>
    <t>(Consolidated, Comprehensive Income, IFRS, HUF)</t>
  </si>
  <si>
    <t xml:space="preserve">3. Profit and Loss </t>
  </si>
  <si>
    <t>(Consolidated, Comprehensive Income, IFRS, EUR)</t>
  </si>
  <si>
    <t xml:space="preserve">4. Balance Sheet </t>
  </si>
  <si>
    <t>(Consolidated, IFRS, HUF)</t>
  </si>
  <si>
    <t xml:space="preserve">5. Cash flow </t>
  </si>
  <si>
    <t xml:space="preserve">6. Changes in Equity </t>
  </si>
  <si>
    <t>7. Details of financial income/expenses</t>
  </si>
  <si>
    <t>(Consolidated, HUF, EUR)</t>
  </si>
  <si>
    <t xml:space="preserve">8. Business unit information </t>
  </si>
  <si>
    <t>(Pharma, HUF)</t>
  </si>
  <si>
    <t xml:space="preserve">9. Neuropsychiatry (CNS) </t>
  </si>
  <si>
    <t>(P&amp;L, Revenue by regions, cariprazine, HUF)</t>
  </si>
  <si>
    <t xml:space="preserve">10. Women's Healthcare (WHC) </t>
  </si>
  <si>
    <t>(P&amp;L, Revenue by regions, Key products, HUF)</t>
  </si>
  <si>
    <t xml:space="preserve">11. Biotechnology (BIO) </t>
  </si>
  <si>
    <t>(P&amp;L, Revenue by regions, Teriparatide, CDMO,HUF)</t>
  </si>
  <si>
    <t xml:space="preserve">12. General Medicines (GM) </t>
  </si>
  <si>
    <t>(P&amp;L, Revenue by regions, HUF)</t>
  </si>
  <si>
    <t xml:space="preserve">13. Revenue Top10 </t>
  </si>
  <si>
    <t>(Top10 countries, Top10 products)</t>
  </si>
  <si>
    <t>14. Shareholder structure</t>
  </si>
  <si>
    <t>15. BU description</t>
  </si>
  <si>
    <t>(Definitions, goals, type of products, therapeutic areas)</t>
  </si>
  <si>
    <t>16. FX rates</t>
  </si>
  <si>
    <t>(Period end, period average - EURHUF, USDHUF, RUBHUF)</t>
  </si>
  <si>
    <t>Note</t>
  </si>
  <si>
    <t>(Regional mapping)</t>
  </si>
  <si>
    <t>Definitions</t>
  </si>
  <si>
    <t xml:space="preserve"> </t>
  </si>
  <si>
    <t>Selected consolidated business metrics</t>
  </si>
  <si>
    <t>Kiemelt konszolidált üzleti mutatószámok</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</si>
  <si>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</si>
  <si>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</si>
  <si>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</si>
  <si>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</si>
  <si>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</si>
  <si>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</si>
  <si>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</si>
  <si>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</si>
  <si>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</si>
  <si>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</si>
  <si>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</si>
  <si>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</si>
  <si>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</si>
  <si>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</si>
  <si>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</si>
  <si>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</si>
  <si>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</si>
  <si>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</si>
  <si>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</si>
  <si>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</si>
  <si>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</si>
  <si>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</si>
  <si>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</si>
  <si>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</si>
  <si>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</si>
  <si>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HUFm</t>
  </si>
  <si>
    <t>Revenues</t>
  </si>
  <si>
    <t>Összes árbevétel</t>
  </si>
  <si>
    <t>ex-Vraylar Revenues</t>
  </si>
  <si>
    <t>Árbevétel Vraylar nélkül</t>
  </si>
  <si>
    <t>Gross profit</t>
  </si>
  <si>
    <t>Bruttó fedezet</t>
  </si>
  <si>
    <t>Gross margin (%)</t>
  </si>
  <si>
    <t>Bruttó fedezeti hányad (%)</t>
  </si>
  <si>
    <t>Clean EBIT*</t>
  </si>
  <si>
    <t>Tisztított EBIT*</t>
  </si>
  <si>
    <t>Clean EBIT margin (%)</t>
  </si>
  <si>
    <t>Tisztított EBIT hányad (%)</t>
  </si>
  <si>
    <t>Profit attributable to owners of the parent (Net profit)</t>
  </si>
  <si>
    <t>Anyavállalt tulajdonosaira jutó eredmény</t>
  </si>
  <si>
    <t>Profit margin attributable to owners of the parent (%)</t>
  </si>
  <si>
    <t>Az anyavállalat tulajdonosaira jutó eredményhányad (%)</t>
  </si>
  <si>
    <t>March 2018</t>
  </si>
  <si>
    <t>Jun 2018</t>
  </si>
  <si>
    <t>Sept 2018</t>
  </si>
  <si>
    <t>Dec 2018</t>
  </si>
  <si>
    <t>March 2019</t>
  </si>
  <si>
    <t>Jun 2019</t>
  </si>
  <si>
    <t>Sept 2019</t>
  </si>
  <si>
    <t>Dec 2019</t>
  </si>
  <si>
    <t>March 2020</t>
  </si>
  <si>
    <t>Jun 2020</t>
  </si>
  <si>
    <t>Sept 2020</t>
  </si>
  <si>
    <t>Dec 2020</t>
  </si>
  <si>
    <t>March 2021</t>
  </si>
  <si>
    <t>Jun 2021</t>
  </si>
  <si>
    <t>Sept 2021</t>
  </si>
  <si>
    <t>Dec 2021</t>
  </si>
  <si>
    <t>March 2022</t>
  </si>
  <si>
    <t>Jun 2022</t>
  </si>
  <si>
    <t>Sept 2022</t>
  </si>
  <si>
    <t>Dec 2022</t>
  </si>
  <si>
    <t>March 2023</t>
  </si>
  <si>
    <t>Jun 2023</t>
  </si>
  <si>
    <t>Sept 2023</t>
  </si>
  <si>
    <t>Dec 2023</t>
  </si>
  <si>
    <t>CAPEX of property, plant and equipment</t>
  </si>
  <si>
    <t>Ingatlanok, üzemi berendezések és felszerelésekhez kapcsolódó beruházások</t>
  </si>
  <si>
    <t>Free Cash Flow (FCF)***</t>
  </si>
  <si>
    <t>Szabad pénzáram***</t>
  </si>
  <si>
    <t>Return on Equity (ROE)</t>
  </si>
  <si>
    <t>Tőkearányos jövedelmezőség</t>
  </si>
  <si>
    <t>Nettó működési ciklus (CCC, nap)</t>
  </si>
  <si>
    <t>Days of inventory outstanding (DIO, day)</t>
  </si>
  <si>
    <t>Készletek forgási sebessége (nap)</t>
  </si>
  <si>
    <t>Days sales outstanding (DSO, day)</t>
  </si>
  <si>
    <t>Vevők forgási sebessége (nap)</t>
  </si>
  <si>
    <t>Days payables outstanding (DPO, day)</t>
  </si>
  <si>
    <t>Szállítók forgási sebessége (nap)</t>
  </si>
  <si>
    <t>Notes:</t>
  </si>
  <si>
    <t>Megyjegzések:</t>
  </si>
  <si>
    <t>*Clean EBIT (cEBIT) = Gross profit less Operating Expenses (S&amp;M, G&amp;A, R&amp;D) less Clawback expenses plus milestone income. cEBIT represents the profitability as a result of core business activity, excluding any one-off items</t>
  </si>
  <si>
    <t>*Tisztított EBIT = Bruttó fedezet - működési költségek (Értékesítési és marketing költségek, Igazgatási és egyéb működési költségek, Kutatás-fejlesztés költségei) – claw-back + mérföldkő bevétel. A Tisztított mutató az egyedi hatásoktól megtisztított alaptevékenység eredményességét tükrözi.</t>
  </si>
  <si>
    <t>**Including Net cash outflow on purchase of group of assets.</t>
  </si>
  <si>
    <t>**Tartalmazza a Eszközvásárlásra fordított nettó pénzeszközöket is.</t>
  </si>
  <si>
    <t>***FCF = Operating Cash flow after changes in Net Working Capital plus interest received less Capex (PP&amp;E)</t>
  </si>
  <si>
    <t>***FCF = Üzleti tevékenységből származó cash flow a működő tőke változásával + Kamatbevételek - Ingatlanok, üzemi berendezések és felszerelésekhez kapcsolódó beruházások</t>
  </si>
  <si>
    <t>Pharmaceutical segment revenues</t>
  </si>
  <si>
    <t>Gyógyszergyártási szegmens árbevétele</t>
  </si>
  <si>
    <t>Region</t>
  </si>
  <si>
    <t>Régiók</t>
  </si>
  <si>
    <t>Western Europe (WEU)</t>
  </si>
  <si>
    <t>Nyugat-Európa (NYEU)</t>
  </si>
  <si>
    <t>Central Europe (CEU)</t>
  </si>
  <si>
    <t>Közép-Európa (KÖE)</t>
  </si>
  <si>
    <t>Eastern Europe (EEU)</t>
  </si>
  <si>
    <t>Kelet-Európa (KEU)</t>
  </si>
  <si>
    <t>North America (NORTHAM)</t>
  </si>
  <si>
    <t>Észak-Amerika (NORTHAM)</t>
  </si>
  <si>
    <t>Asia &amp; Pacific (APAC)</t>
  </si>
  <si>
    <t>Ázsia-Csendes-óceán (APAC)</t>
  </si>
  <si>
    <t>Latin America (LATAM)</t>
  </si>
  <si>
    <t>Latin-Amerika (LATAM)</t>
  </si>
  <si>
    <t>Rest of the World (ROW)</t>
  </si>
  <si>
    <t>Egyéb országok (EGYÉB)</t>
  </si>
  <si>
    <t>Total Revenues</t>
  </si>
  <si>
    <t>Consolidated P&amp;L</t>
  </si>
  <si>
    <t>Konszolidált eredménykimutatás</t>
  </si>
  <si>
    <t>H1 2018</t>
  </si>
  <si>
    <t>Q1-Q3 2018</t>
  </si>
  <si>
    <t>H1 2019</t>
  </si>
  <si>
    <t>Q1-Q3 2019</t>
  </si>
  <si>
    <t>2019*</t>
  </si>
  <si>
    <t>Q1 2020*</t>
  </si>
  <si>
    <t>H1 2020*</t>
  </si>
  <si>
    <t>Q1-Q3 2020*</t>
  </si>
  <si>
    <t>H1 2021</t>
  </si>
  <si>
    <t>Q1-Q3 2021</t>
  </si>
  <si>
    <t>H1 2022</t>
  </si>
  <si>
    <t>Q1-Q3 2022</t>
  </si>
  <si>
    <t>Q4 2022*</t>
  </si>
  <si>
    <t>2022*</t>
  </si>
  <si>
    <t>H1 2023</t>
  </si>
  <si>
    <t>Q1-Q3 2023</t>
  </si>
  <si>
    <t>of which royalty</t>
  </si>
  <si>
    <t>amelyből royalty</t>
  </si>
  <si>
    <t>Cost of Sales</t>
  </si>
  <si>
    <t>Értékesítés költségei</t>
  </si>
  <si>
    <t>Gross Profit</t>
  </si>
  <si>
    <t>Sales &amp; marketing expenses</t>
  </si>
  <si>
    <t>Értékesítési és marketing költségek</t>
  </si>
  <si>
    <t>General &amp; administrative expenses</t>
  </si>
  <si>
    <t>Igazgatási és egyéb működési költségek</t>
  </si>
  <si>
    <t>Research &amp; development expenses</t>
  </si>
  <si>
    <t>Kutatás-fejlesztés költségei</t>
  </si>
  <si>
    <t>Other income &amp; expense</t>
  </si>
  <si>
    <t>Egyéb működési és bevételek és ráfordítások</t>
  </si>
  <si>
    <t>of which clawback</t>
  </si>
  <si>
    <t>amelyből clawback</t>
  </si>
  <si>
    <t>of which milestone income</t>
  </si>
  <si>
    <t>amelyből mérföldkő bevétel</t>
  </si>
  <si>
    <t>-</t>
  </si>
  <si>
    <t>Reversal of financial impariment of assets</t>
  </si>
  <si>
    <t>Pénzügyi és szerződéses eszközök</t>
  </si>
  <si>
    <t>EBIT (Profit from operations)</t>
  </si>
  <si>
    <t>EBIT (Üzleti tevékenység eredménye)</t>
  </si>
  <si>
    <t>Finance income</t>
  </si>
  <si>
    <t>Pénzügyi tevékenység bevétele</t>
  </si>
  <si>
    <t>Finance costs</t>
  </si>
  <si>
    <t>Pénzügyi tevékenység ráfordítása</t>
  </si>
  <si>
    <t>Net financial (loss)/income</t>
  </si>
  <si>
    <t>Pénzügyi tevékenység eredménye</t>
  </si>
  <si>
    <t>Share of profit/(loss) of associates and joint ventures</t>
  </si>
  <si>
    <t>Részesedés társult- és közös vezetésű vállalkozások eredményéből</t>
  </si>
  <si>
    <t>Profit before income tax</t>
  </si>
  <si>
    <t>Adózás előtti eredmény</t>
  </si>
  <si>
    <t>Income and deferred tax</t>
  </si>
  <si>
    <t>Társasági és halasztott adó</t>
  </si>
  <si>
    <t>Local business tax and innovation contribution</t>
  </si>
  <si>
    <t>Helyi iparűzési adó és innovációs járulék</t>
  </si>
  <si>
    <t>Profit for the period</t>
  </si>
  <si>
    <t>Adózott eredmény</t>
  </si>
  <si>
    <t>Profit attributable to:</t>
  </si>
  <si>
    <t>Ebből:</t>
  </si>
  <si>
    <t>Owners of the parent</t>
  </si>
  <si>
    <t>Anyavállalt tulajdonosaira jutó</t>
  </si>
  <si>
    <t>Non-controlling interest</t>
  </si>
  <si>
    <t>Nem ellenőrzött részesedésekre jutó</t>
  </si>
  <si>
    <t>Earning per share (EPS)</t>
  </si>
  <si>
    <t>Egy részvényre jutó eredmény (EPS)</t>
  </si>
  <si>
    <t>HUF</t>
  </si>
  <si>
    <t xml:space="preserve">Basic </t>
  </si>
  <si>
    <t>Alap</t>
  </si>
  <si>
    <t>Diluted</t>
  </si>
  <si>
    <t>Higított</t>
  </si>
  <si>
    <t>Key Ratios as a % of revenues</t>
  </si>
  <si>
    <t>Fő árbevétel arányos mutatók %</t>
  </si>
  <si>
    <t>Bruttó fedezeti hányad</t>
  </si>
  <si>
    <t>Sales &amp; Marketing Costs</t>
  </si>
  <si>
    <t>General &amp; Administrative expenses</t>
  </si>
  <si>
    <t>Research &amp; development</t>
  </si>
  <si>
    <t>Clawback</t>
  </si>
  <si>
    <t>EBIT</t>
  </si>
  <si>
    <t>Note: *Restated</t>
  </si>
  <si>
    <t>Megjegyzés: *Módosított</t>
  </si>
  <si>
    <t>Consolidated Statement of Comprehensive Income</t>
  </si>
  <si>
    <t>Konszolidált átfogó eredménykimutatás</t>
  </si>
  <si>
    <t>H1 2020</t>
  </si>
  <si>
    <t>Q1-Q3 2020</t>
  </si>
  <si>
    <t>Actuarial (loss)/gain on retirement defined benefit plans</t>
  </si>
  <si>
    <t>Aktuáriusi (veszteség)/nyereség a nyugdíjazással kapcsolatos juttatási programokon</t>
  </si>
  <si>
    <t>Changes in the fair value of equity instruments at FVOCI</t>
  </si>
  <si>
    <t>Egyéb átfogó eredménnyel szemben valós értéken értékelt tőkeinstrumentumok változása</t>
  </si>
  <si>
    <t>Items that will not be reclassified to profit or loss (net of tax)</t>
  </si>
  <si>
    <t>Eredménykimutatásba nem visszaforduló tételek (adók levonása után)</t>
  </si>
  <si>
    <t>Exchange differences arising on translation of subsidiaries</t>
  </si>
  <si>
    <t>Leányvállalatok beszámolóinak forintosításából adódó árfolyamkülönbözet</t>
  </si>
  <si>
    <t>Exchange differences arising on translation of associates and joint ventures</t>
  </si>
  <si>
    <t>Társult- és közös vezetésű vállalatok beszámolóinak forintosításából adódó árfolyamkülönbözet</t>
  </si>
  <si>
    <t>Change in fair value of hedging instruments recognised in OCI</t>
  </si>
  <si>
    <t>Az egyéb átfogó eredményben elszámolt fedezeti instrumentumok valós értékének változása</t>
  </si>
  <si>
    <t>Hedging loss/(gain) reclassified to profit or loss</t>
  </si>
  <si>
    <t>Eredménykimutatásban elszámolt fedezeti ügyleteken elért veszteség/(nyereség)</t>
  </si>
  <si>
    <t>Changes in fair value of debt instruments at FVOCI</t>
  </si>
  <si>
    <t>Egyéb átfogó eredménnyel szemben valós értéken értékelt adósságinstrumentumok változása</t>
  </si>
  <si>
    <t>Items that may be subsequently reclassified to profit or loss (net of tax)</t>
  </si>
  <si>
    <t>Eredménykimutatásba jövőben visszaforduló tételek (adók levonása után)</t>
  </si>
  <si>
    <t>Other comprehensive income for the period</t>
  </si>
  <si>
    <t>Egyéb átfogó eredmény</t>
  </si>
  <si>
    <t>Total comprehensive income for the period</t>
  </si>
  <si>
    <t>Teljes átfogó eredmény</t>
  </si>
  <si>
    <t>Attributable to:</t>
  </si>
  <si>
    <t>Anyavállalat tulajdonosaira jutó</t>
  </si>
  <si>
    <t>Nem ellenőrző részesedésekre jutó</t>
  </si>
  <si>
    <t>EURm</t>
  </si>
  <si>
    <t>Share of profit of associates and joint ventures</t>
  </si>
  <si>
    <t>EUR</t>
  </si>
  <si>
    <t>Consolidated Balance Sheet</t>
  </si>
  <si>
    <t>Konszolidált Mérleg</t>
  </si>
  <si>
    <t>March 2022*</t>
  </si>
  <si>
    <t>Jun 2022*</t>
  </si>
  <si>
    <t>Sept 2022*</t>
  </si>
  <si>
    <t>Dec 2022*</t>
  </si>
  <si>
    <t>March 2023*</t>
  </si>
  <si>
    <t>Jun 2023*</t>
  </si>
  <si>
    <t>Assets</t>
  </si>
  <si>
    <t>Eszközök</t>
  </si>
  <si>
    <t>Non-current assets</t>
  </si>
  <si>
    <t>Befektetett eszközök</t>
  </si>
  <si>
    <t>Property, plant and equipment</t>
  </si>
  <si>
    <t>Ingatlanok, üzemi berendezések és felszerelések</t>
  </si>
  <si>
    <t xml:space="preserve">Investment property </t>
  </si>
  <si>
    <t xml:space="preserve">Befektetési célú ingatlanok </t>
  </si>
  <si>
    <t>Goodwill</t>
  </si>
  <si>
    <t>Üzleti vagy cégérték</t>
  </si>
  <si>
    <t>Other intangible assets</t>
  </si>
  <si>
    <t>Egyéb immateriális javak</t>
  </si>
  <si>
    <t>Investments in associates and joint ventures</t>
  </si>
  <si>
    <t>Részesedések társult- és közös vezetésű vállalkozásokban</t>
  </si>
  <si>
    <t>Other fiancial assets</t>
  </si>
  <si>
    <t xml:space="preserve">Befektetett pénzügyi eszközök </t>
  </si>
  <si>
    <t>Non-current financial assets at amortised cost</t>
  </si>
  <si>
    <t>Amortizált bekerülési értéken nyilvántartott befektetett pénzügyi eszközök</t>
  </si>
  <si>
    <t>Non-current financial assets at FVTPL</t>
  </si>
  <si>
    <t>Eredménnyel szemben valós értéken értékelt befektetett pénzügyi eszközök</t>
  </si>
  <si>
    <t>Non-current financial assets at FVOCI</t>
  </si>
  <si>
    <t>Egyéb átfogó eredménnyel szemben valós értéken értékelt befektetett pénzügyi eszközök</t>
  </si>
  <si>
    <t>Derivative financial instruments</t>
  </si>
  <si>
    <t>Derivatív pénzügyi instrumentumok</t>
  </si>
  <si>
    <t>Deferred tax assets</t>
  </si>
  <si>
    <t>Halasztott adó eszközök</t>
  </si>
  <si>
    <t>Loans receivables</t>
  </si>
  <si>
    <t>Egyéb hosszú lejáratú követelések</t>
  </si>
  <si>
    <t>Long term receivables</t>
  </si>
  <si>
    <t>Current assets</t>
  </si>
  <si>
    <t>Forgóeszközök</t>
  </si>
  <si>
    <t>Inventories</t>
  </si>
  <si>
    <t>Készletek</t>
  </si>
  <si>
    <t>Contract assets</t>
  </si>
  <si>
    <t>Szerződéses eszközök</t>
  </si>
  <si>
    <t>Trade receivables</t>
  </si>
  <si>
    <t>Vevők</t>
  </si>
  <si>
    <t>Other current assets</t>
  </si>
  <si>
    <t>Egyéb rövid lejáratú követelések</t>
  </si>
  <si>
    <t>Investments in securities</t>
  </si>
  <si>
    <t>Értékpapírok</t>
  </si>
  <si>
    <t>Current financial assets at amortised cost</t>
  </si>
  <si>
    <t>Amortizált bekerülési értéken nyilvántartott rövid lejáratú pénzügyi eszközök</t>
  </si>
  <si>
    <t>Current financial assets at FVOCI</t>
  </si>
  <si>
    <t>Egyéb átfogó eredménnyel szemben valós értéken értékelt rövid lejáratú pénzügyi eszközök</t>
  </si>
  <si>
    <t>Current tax asset</t>
  </si>
  <si>
    <t>Nyereségadó követelés</t>
  </si>
  <si>
    <t>Cash and cash equivalents</t>
  </si>
  <si>
    <t>Pénz és pénzeszköz egyenértékes</t>
  </si>
  <si>
    <t>Assets classified as held for sale</t>
  </si>
  <si>
    <t>Értékesítésre tartott eszközök</t>
  </si>
  <si>
    <t>EQUITY AND LIABILITIES</t>
  </si>
  <si>
    <t>FORRÁSOK</t>
  </si>
  <si>
    <t>Capital and reserves</t>
  </si>
  <si>
    <t>Saját tőke</t>
  </si>
  <si>
    <t>Share capital</t>
  </si>
  <si>
    <t>Jegyzett tőke</t>
  </si>
  <si>
    <t>Treasury shares</t>
  </si>
  <si>
    <t>Saját részvények</t>
  </si>
  <si>
    <t>Share premium</t>
  </si>
  <si>
    <t>Részvényázsió</t>
  </si>
  <si>
    <t>Capital reserves</t>
  </si>
  <si>
    <t>Tőketartalék</t>
  </si>
  <si>
    <t>Foreign currency translation reserves</t>
  </si>
  <si>
    <t>Átértékelési tartalék</t>
  </si>
  <si>
    <t>Revaluation reserves for available for sale investments</t>
  </si>
  <si>
    <t>Értékesíthető pénzügyi eszközök értékelési tartaléka</t>
  </si>
  <si>
    <t>Revaluation reserves for financial assets at FVOCI</t>
  </si>
  <si>
    <t>Egyéb átfogó eredménnyel szemben valós értéken értékelt pénzügyi eszközök tartaléka</t>
  </si>
  <si>
    <t>Cash-flow hedge reserve</t>
  </si>
  <si>
    <t>Cash-flow fedezeti ügyletek tartaléka</t>
  </si>
  <si>
    <t>Retained earnings</t>
  </si>
  <si>
    <t>Eredménytartalék</t>
  </si>
  <si>
    <t>Nem ellenőrző részesedések</t>
  </si>
  <si>
    <t>Non-current liabilities</t>
  </si>
  <si>
    <t>Hosszú lejáratú kötelezettségek</t>
  </si>
  <si>
    <t>Borrowings</t>
  </si>
  <si>
    <t>Hitelek/kölcsönök</t>
  </si>
  <si>
    <t>Deferred tax liability</t>
  </si>
  <si>
    <t>Halasztott adó kötelezettség</t>
  </si>
  <si>
    <t>Non-current financial liabilities at FVTPL</t>
  </si>
  <si>
    <t>Eredménnyel szemben valós értéken értékelt hosszú lejáratú pénzügyi kötelezettségek</t>
  </si>
  <si>
    <t>Lease liability</t>
  </si>
  <si>
    <t>Lízingkötelezettség</t>
  </si>
  <si>
    <t>Other non-current liabilities and accruals</t>
  </si>
  <si>
    <t>Egyéb hosszú lejáratú kötelezettségek és passzív időbeli elhatárolások</t>
  </si>
  <si>
    <t>Provisions</t>
  </si>
  <si>
    <t>Céltartalékok</t>
  </si>
  <si>
    <t>Current liabilities</t>
  </si>
  <si>
    <t>Rövid lejáratú kötelezettségek</t>
  </si>
  <si>
    <t>Trade payables</t>
  </si>
  <si>
    <t>Szállítók</t>
  </si>
  <si>
    <t>Contract liabilities</t>
  </si>
  <si>
    <t>Szerződéses kötelezettségek</t>
  </si>
  <si>
    <t>Current tax liabilities</t>
  </si>
  <si>
    <t>Nyereségadó kötelezettség</t>
  </si>
  <si>
    <t>Current financial liabilities at FVTPL</t>
  </si>
  <si>
    <t>Eredménnyel szemben valós értéken értékelt rövid lejáratú pénzügyi kötelezettségek</t>
  </si>
  <si>
    <t>Other current liabilities and accruals</t>
  </si>
  <si>
    <t>Egyéb rövid lejáratú kötelezettségek és passzív időbeli elhatárolások</t>
  </si>
  <si>
    <t>Liabilities directly associated with assets classified as held for sale</t>
  </si>
  <si>
    <t>Consolidated cash flow</t>
  </si>
  <si>
    <t>Konszolidált cash flow</t>
  </si>
  <si>
    <t>Operating activities</t>
  </si>
  <si>
    <t>Üzleti tevékenység</t>
  </si>
  <si>
    <t>Depreciation and amortisation</t>
  </si>
  <si>
    <t>Értékcsökkenés és amortizáció</t>
  </si>
  <si>
    <t xml:space="preserve">Non cash items </t>
  </si>
  <si>
    <t>Pénzmozgással nem járó tételek</t>
  </si>
  <si>
    <t>Period-end foreign exchange translation difference of borrowings</t>
  </si>
  <si>
    <t>Hitelek átértékelése</t>
  </si>
  <si>
    <t>Net interest and dividend income</t>
  </si>
  <si>
    <t>Nettó kamat- és osztalékbevétel</t>
  </si>
  <si>
    <t>Changes in provision for defined benefit plans</t>
  </si>
  <si>
    <t>Meghatározott juttatási programokra képzett céltartalék</t>
  </si>
  <si>
    <t xml:space="preserve">Reclass of results on changes of property, plant and equipment and intangible assets </t>
  </si>
  <si>
    <t>Ingatlanok, üzemi berendezések, felszerelések és immateriális javak változásának eredménye</t>
  </si>
  <si>
    <t>Impairment recognised on intangible assets and goodwill</t>
  </si>
  <si>
    <t>Immateriális javak és üzleti vagy cégérték értékvesztése</t>
  </si>
  <si>
    <t>Impairment of securities</t>
  </si>
  <si>
    <t>Értékpapírok értékvesztése</t>
  </si>
  <si>
    <t>Expense recognised in respect of equity-settled share-based payments</t>
  </si>
  <si>
    <t>Részvényalapú kifizetések elszámolásával kapcsolatos ráfordítások</t>
  </si>
  <si>
    <t>Other items</t>
  </si>
  <si>
    <t>Egyéb tételek</t>
  </si>
  <si>
    <t>Interest paid</t>
  </si>
  <si>
    <t>Fizetett kamat</t>
  </si>
  <si>
    <t>Income tax paid</t>
  </si>
  <si>
    <t>Fizetett nyereségadó</t>
  </si>
  <si>
    <t>Gain on disposal of subsidiaries</t>
  </si>
  <si>
    <t>Leányvállalatok értékesítésén elért eredmény</t>
  </si>
  <si>
    <t>Net cash flow from operating activities before changes in working capital</t>
  </si>
  <si>
    <t>Üzleti tevékenységből származó nettó cash-flow működő tőke változás nélkül</t>
  </si>
  <si>
    <t>Movements in working capital</t>
  </si>
  <si>
    <t>Működő tőke változásai</t>
  </si>
  <si>
    <t>(Increase) / decrease in trade and other receivables</t>
  </si>
  <si>
    <t>Vevők és egyéb követelések csökkenése/(növekedése)</t>
  </si>
  <si>
    <t>(Increase) / decrease in inventories</t>
  </si>
  <si>
    <t>Készletek csökkenése/(növekedése)</t>
  </si>
  <si>
    <t>(Increase) / decrease in payables and other liabilities</t>
  </si>
  <si>
    <t>Szállítók és egyéb kötelezettségek csökkenése/(növekedése)</t>
  </si>
  <si>
    <t>Net cash flow from operating activities</t>
  </si>
  <si>
    <t>Üzleti tevékenységből származó nettó cash flow</t>
  </si>
  <si>
    <t>Cash flow from investing activities</t>
  </si>
  <si>
    <t>Befektetési tevékenység</t>
  </si>
  <si>
    <t>Payments for property, plant and equipment</t>
  </si>
  <si>
    <t>Ingatlanok, üzemi berendezések és felszerelések beszerzése</t>
  </si>
  <si>
    <t>Payments for intangible assets</t>
  </si>
  <si>
    <t>Immateriális javak beszerzése</t>
  </si>
  <si>
    <t xml:space="preserve">Proceeds from disposal of property, plant and equipment </t>
  </si>
  <si>
    <t xml:space="preserve">Ingatlanok, üzemi berendezések, felszerelések értékesítésének bevétele </t>
  </si>
  <si>
    <t>Goverment grant received related to investments</t>
  </si>
  <si>
    <t>Beruházáshoz kapcsolódóan befolyt állami támogatások</t>
  </si>
  <si>
    <t xml:space="preserve">Payments to acquire financial assets </t>
  </si>
  <si>
    <t>Pénzügyi eszközök megszerzésére fordított pénzeszköz</t>
  </si>
  <si>
    <t>Proceeds on sale or redemption on maturity of financial assets</t>
  </si>
  <si>
    <t>Pénzügyi eszközök értékesítéséből, lejáratából származó bevétel</t>
  </si>
  <si>
    <t>Disbursement of loans net</t>
  </si>
  <si>
    <t>Adott kölcsönök törlesztése/(nyújtása)</t>
  </si>
  <si>
    <t>Interest received</t>
  </si>
  <si>
    <t>Kamatbevételek</t>
  </si>
  <si>
    <t>Dividend receives</t>
  </si>
  <si>
    <t>Osztalékbevétel</t>
  </si>
  <si>
    <t>Net cash outflow on purchase of group of assets</t>
  </si>
  <si>
    <t>Eszközvásárlásra fordított nettó pénzeszköz</t>
  </si>
  <si>
    <t>Net cash outflow on acquisition of subsidiaries</t>
  </si>
  <si>
    <t>Leányvállalat megszerzésére fordított pénzösszeg</t>
  </si>
  <si>
    <t>Net cash inflow from disposal of subsidiaries</t>
  </si>
  <si>
    <t>Leányvállalatok értékesítéséből származó nettó pénzbevétel</t>
  </si>
  <si>
    <t>Net cash flow to investing activities</t>
  </si>
  <si>
    <t>Befektetési tevékenységre felhasznált nettó cash flow</t>
  </si>
  <si>
    <t>Cash flow from financing activities</t>
  </si>
  <si>
    <t>Pénzügyi tevékenység</t>
  </si>
  <si>
    <t>(Purchase) / disposal of treasury shares</t>
  </si>
  <si>
    <t>Saját részvények vásárlása</t>
  </si>
  <si>
    <t>Dividend paid</t>
  </si>
  <si>
    <t xml:space="preserve">Fizetett osztalék törzsrészvényekre </t>
  </si>
  <si>
    <t xml:space="preserve">Principal elements of lease payments </t>
  </si>
  <si>
    <t>Lízingtörlesztés</t>
  </si>
  <si>
    <t>Repayment of borrowings</t>
  </si>
  <si>
    <t>Hiteltörlesztés (-)</t>
  </si>
  <si>
    <t xml:space="preserve">Proceeds from borrowings </t>
  </si>
  <si>
    <t>Hitelfelvétel (+)</t>
  </si>
  <si>
    <t>Net cash flow (to) / from financing activities</t>
  </si>
  <si>
    <t>Pénzügyi tevékenységből felhasznált nettó cash flow</t>
  </si>
  <si>
    <t>Net increase / (decrease) in cash and cash equivalents</t>
  </si>
  <si>
    <t>Pénz és pénzeszköz egyenértékes (csökkenése)/növekedése</t>
  </si>
  <si>
    <t>Cash and cash equivalents at beginning of year</t>
  </si>
  <si>
    <t>Pénz és pénzeszköz egyenértékes év elején</t>
  </si>
  <si>
    <t>Effect of foreign exchange rate changes on cash and cash equivalents</t>
  </si>
  <si>
    <t>Árfolyamváltozás hatása a Pénz és pénzeszköz-egyenértékeseken </t>
  </si>
  <si>
    <t>Cash and cash equivalents at end of period</t>
  </si>
  <si>
    <t>Pénz és pénzeszköz egyenértékes időszak végén</t>
  </si>
  <si>
    <r>
      <t xml:space="preserve">Share capital /             </t>
    </r>
    <r>
      <rPr>
        <i/>
        <sz val="9"/>
        <color rgb="FFFFFFFF"/>
        <rFont val="Verdana"/>
        <family val="2"/>
        <charset val="238"/>
      </rPr>
      <t>Jegyzett tőke</t>
    </r>
  </si>
  <si>
    <r>
      <t xml:space="preserve">Share premium / </t>
    </r>
    <r>
      <rPr>
        <i/>
        <sz val="9"/>
        <color rgb="FFFFFFFF"/>
        <rFont val="Verdana"/>
        <family val="2"/>
        <charset val="238"/>
      </rPr>
      <t>Részvényázsió</t>
    </r>
  </si>
  <si>
    <r>
      <t xml:space="preserve">Capital reserve / </t>
    </r>
    <r>
      <rPr>
        <i/>
        <sz val="9"/>
        <color rgb="FFFFFFFF"/>
        <rFont val="Verdana"/>
        <family val="2"/>
        <charset val="238"/>
      </rPr>
      <t>Tőketartalék</t>
    </r>
  </si>
  <si>
    <r>
      <t xml:space="preserve">Treasury shares /                    </t>
    </r>
    <r>
      <rPr>
        <i/>
        <sz val="9"/>
        <color rgb="FFFFFFFF"/>
        <rFont val="Verdana"/>
        <family val="2"/>
        <charset val="238"/>
      </rPr>
      <t>Saját részvény</t>
    </r>
  </si>
  <si>
    <r>
      <t xml:space="preserve">Revaluation reserve for financial assets at FVOCI / </t>
    </r>
    <r>
      <rPr>
        <i/>
        <sz val="9"/>
        <color rgb="FFFFFFFF"/>
        <rFont val="Verdana"/>
        <family val="2"/>
        <charset val="238"/>
      </rPr>
      <t>Egyéb átfogó eredménnyel szemben valós értéken értékelt pénzügyi eszközök tartaléka</t>
    </r>
  </si>
  <si>
    <r>
      <t xml:space="preserve">Foreign currency translation reserve / </t>
    </r>
    <r>
      <rPr>
        <i/>
        <sz val="9"/>
        <color rgb="FFFFFFFF"/>
        <rFont val="Verdana"/>
        <family val="2"/>
        <charset val="238"/>
      </rPr>
      <t>Átértékelési tartalék</t>
    </r>
  </si>
  <si>
    <r>
      <t xml:space="preserve">Cash-flow hedge reserve / </t>
    </r>
    <r>
      <rPr>
        <i/>
        <sz val="9"/>
        <color rgb="FFFFFFFF"/>
        <rFont val="Verdana"/>
        <family val="2"/>
        <charset val="238"/>
      </rPr>
      <t>Cash-flow fedezeti ügyletek tartaléka</t>
    </r>
  </si>
  <si>
    <r>
      <t xml:space="preserve">Retained earnings / </t>
    </r>
    <r>
      <rPr>
        <i/>
        <sz val="9"/>
        <color rgb="FFFFFFFF"/>
        <rFont val="Verdana"/>
        <family val="2"/>
        <charset val="238"/>
      </rPr>
      <t>Eredménytartalék</t>
    </r>
  </si>
  <si>
    <r>
      <t xml:space="preserve">Attributable to owners of the parent / </t>
    </r>
    <r>
      <rPr>
        <i/>
        <sz val="9"/>
        <color rgb="FFFFFFFF"/>
        <rFont val="Verdana"/>
        <family val="2"/>
        <charset val="238"/>
      </rPr>
      <t>Anyavállalat tulajdonosaira jutó tőke</t>
    </r>
  </si>
  <si>
    <r>
      <t xml:space="preserve">Non-controlling interest / </t>
    </r>
    <r>
      <rPr>
        <i/>
        <sz val="9"/>
        <color rgb="FFFFFFFF"/>
        <rFont val="Verdana"/>
        <family val="2"/>
        <charset val="238"/>
      </rPr>
      <t>Nem ellenőrző  részesedések</t>
    </r>
  </si>
  <si>
    <r>
      <t xml:space="preserve">Total / </t>
    </r>
    <r>
      <rPr>
        <i/>
        <sz val="9"/>
        <color rgb="FFFFFFFF"/>
        <rFont val="Verdana"/>
        <family val="2"/>
        <charset val="238"/>
      </rPr>
      <t>Összesen</t>
    </r>
  </si>
  <si>
    <t>Balance at 1 January 2022</t>
  </si>
  <si>
    <t>Egyenleg 2022. január 1-én</t>
  </si>
  <si>
    <t>Profit for the year (restated*)</t>
  </si>
  <si>
    <t>Tárgyévi eredmény (módosított*)</t>
  </si>
  <si>
    <t>Actuarial gain on retirement defined benefit plans</t>
  </si>
  <si>
    <t>Aktuáriusi veszteség a nyugdíjazással kapcsolatos juttatási programokon</t>
  </si>
  <si>
    <t>Changes in the fair value of financial assets at FVOCI</t>
  </si>
  <si>
    <t>Egyéb átfogó eredménnyel szemben valós értéken értékelt pénzügyi eszközök változása</t>
  </si>
  <si>
    <t>Reclassification of gain on transfer of equity investments at FVOCI to retained earnings</t>
  </si>
  <si>
    <t>Egyéb átfogó eredménnyel szemben valós értéken értékelt tőkebefektetések kivezetésén realizált nyereség átsorolása az eredménytartalékba</t>
  </si>
  <si>
    <t>Comprehensive income at 31 December 2022 (restated*)</t>
  </si>
  <si>
    <t>Átfogó eredmény 2022. december 31-ével végződő évre (módosított*)</t>
  </si>
  <si>
    <t>Saját részvény vásárlása</t>
  </si>
  <si>
    <t>Saját részvények átadása</t>
  </si>
  <si>
    <t>Recognition of share-based payments</t>
  </si>
  <si>
    <t>Részvényalapú kifizetések elszámolása</t>
  </si>
  <si>
    <t>Ordinary share dividend for 2021</t>
  </si>
  <si>
    <t>Törzsrészvények után járó osztalék 2021. évre</t>
  </si>
  <si>
    <t>Dividend paid to non-controlling interest</t>
  </si>
  <si>
    <t>Nem ellenőrző részesedéseknek fizetett osztalék</t>
  </si>
  <si>
    <t>Transactions with owners in their capacity as owners for year ended 
31 December 2022</t>
  </si>
  <si>
    <t>Tulajdonosokkal tulajdonosi minőségben folytatott tranzakciók értéke 2022. december 31-ével végződő évre</t>
  </si>
  <si>
    <t>Balance at 31 December 2022 (restated*)</t>
  </si>
  <si>
    <t>Egyenleg 2022. december 31-én (módosított*)</t>
  </si>
  <si>
    <t>Profit for the year</t>
  </si>
  <si>
    <t>Tárgyévi eredmény</t>
  </si>
  <si>
    <t>Actuarial loss on retirement defined benefit plans</t>
  </si>
  <si>
    <t>Ordinary share dividend for 2022</t>
  </si>
  <si>
    <t>Törzsrészvények után járó osztalék 2022. évre</t>
  </si>
  <si>
    <t>Sale of subsidiaries</t>
  </si>
  <si>
    <t>Leányvállalatok értékesítése</t>
  </si>
  <si>
    <t>Transactions with owners in their capacity as owners for year ended 
31 December 2023</t>
  </si>
  <si>
    <t>Tulajdonosokkal tulajdonosi minőségben folytatott tranzakciók értéke 2023. december 31-ével végződő évre</t>
  </si>
  <si>
    <t>3 months to March 2023</t>
  </si>
  <si>
    <t>Balance at 31 December 2021</t>
  </si>
  <si>
    <t>Egyenleg 2021. december 31-én</t>
  </si>
  <si>
    <t>Total comprehensive income at 31 March 2022</t>
  </si>
  <si>
    <t>Tulajdonosokkal tulajdonosi minőségben folytatott tranzakciók értéke 2022. március 31-ével végződő időszakra</t>
  </si>
  <si>
    <t>Balance at 31 March 2022</t>
  </si>
  <si>
    <t>Egyenleg 2022. március 31-én</t>
  </si>
  <si>
    <t>Total comprehensive income at 31 March 2023</t>
  </si>
  <si>
    <t>Tulajdonosokkal tulajdonosi minőségben folytatott tranzakciók értéke 2023. március 31-ével végződő időszakra</t>
  </si>
  <si>
    <t>Balance at 31 March 2023</t>
  </si>
  <si>
    <t>Egyenleg 2023. március 31-én</t>
  </si>
  <si>
    <t>6 months to June 2023</t>
  </si>
  <si>
    <t>Total comprehensive income at 30 September 2022</t>
  </si>
  <si>
    <t>Teljes átfogó eredmény  2022. június 30-ával végződő időszakra</t>
  </si>
  <si>
    <t>Tulajdonosokkal tulajdonosi minőségben folytatott tranzakciók értéke 2022. június 30-ával végződő időszakra</t>
  </si>
  <si>
    <t>Balance at 30 June 2022</t>
  </si>
  <si>
    <t>Egyenleg 2022. június 30-án</t>
  </si>
  <si>
    <t>Total comprehensive income at 30 June 2023</t>
  </si>
  <si>
    <t>Teljes átfogó eredmény  2023. június 30-ával végződő időszakra</t>
  </si>
  <si>
    <t>Tulajdonosokkal tulajdonosi minőségben folytatott tranzakciók értéke 2023. június 30-ával végződő időszakra</t>
  </si>
  <si>
    <t>Balance at 30 June 2023</t>
  </si>
  <si>
    <t>Egyenleg 2023. június 30-án</t>
  </si>
  <si>
    <t>9 months to September 2023</t>
  </si>
  <si>
    <t>Aktuáriusi nyereség a nyugdíjazással kapcsolatos juttatási programokon</t>
  </si>
  <si>
    <t>Tulajdonosokkal tulajdonosi minőségben folytatott tranzakciók értéke 2022. szeptember 30-ával végződő időszakra</t>
  </si>
  <si>
    <t>Balance at 30 September 2022</t>
  </si>
  <si>
    <t>Egyenleg 2022. szeptember 30-án</t>
  </si>
  <si>
    <t>Total comprehensive income at 30 September 2023</t>
  </si>
  <si>
    <t>Tulajdonosokkal tulajdonosi minőségben folytatott tranzakciók értéke 2023. szeptember 30-ával végződő időszakra</t>
  </si>
  <si>
    <t>Balance at 30 September 2023</t>
  </si>
  <si>
    <t>Egyenleg 2023. szeptember 30-án</t>
  </si>
  <si>
    <t>3 months to March 2022</t>
  </si>
  <si>
    <t>Transactions with owners in their capacity as owners for period ended 
31 March 2021</t>
  </si>
  <si>
    <t>Tulajdonosokkal tulajdonosi minőségben folytatott tranzakciók értéke 2021. március 31-ével végződő időszakra</t>
  </si>
  <si>
    <t>Balance at 31 March 2021</t>
  </si>
  <si>
    <t>Egyenleg 2021. március 31-én</t>
  </si>
  <si>
    <t>Teljes átfogó eredmény  2022. március 31-ével végződő időszakra</t>
  </si>
  <si>
    <t>Transactions with owners in their capacity as owners for period ended 
31 March 2022</t>
  </si>
  <si>
    <t>6 months to June 2022</t>
  </si>
  <si>
    <t>Teljes átfogó eredmény  2021. június 30-ával végződő időszakra</t>
  </si>
  <si>
    <t>Ordinary share dividend for 2020</t>
  </si>
  <si>
    <t>Törzsrészvények után járó osztalék 2020. évre</t>
  </si>
  <si>
    <t>Transactions with owners in their capacity as owners for period ended 
30 June 2021</t>
  </si>
  <si>
    <t>Tulajdonosokkal tulajdonosi minőségben folytatott tranzakciók értéke 2021. június 30-ával végződő időszakra</t>
  </si>
  <si>
    <t>Balance at 30 June 2021</t>
  </si>
  <si>
    <t>Egyenleg 2021. június 30-án</t>
  </si>
  <si>
    <t>Total comprehensive income at 30 June 2022</t>
  </si>
  <si>
    <t>Transactions with owners in their capacity as owners for period ended 
30 June 2022</t>
  </si>
  <si>
    <t>9 months to September 2022</t>
  </si>
  <si>
    <t>Teljes átfogó eredmény  2021. szeptember 30-ával végződő időszakra</t>
  </si>
  <si>
    <t>Sale of subsidiary</t>
  </si>
  <si>
    <t>Leányvállalat értékesítése</t>
  </si>
  <si>
    <t>Transactions with owners in their capacity as owners for period ended 
30 September 2021</t>
  </si>
  <si>
    <t>Tulajdonosokkal tulajdonosi minőségben folytatott tranzakciók értéke 2021. szeptember 30-ával végződő időszakra</t>
  </si>
  <si>
    <t>Balance at 30 September 2021</t>
  </si>
  <si>
    <t>Egyenleg 2021. szeptember 30-án</t>
  </si>
  <si>
    <t>Teljes átfogó eredmény  2022. szeptember 30-ával végződő időszakra</t>
  </si>
  <si>
    <t>Transactions with owners in their capacity as owners for period ended 
30 September 2022</t>
  </si>
  <si>
    <t>For the year ended 31 December 2022</t>
  </si>
  <si>
    <t>Balance at 1 January 2021</t>
  </si>
  <si>
    <t>Teljes átfogó eredmény  2021. december 31-ével végződő évre</t>
  </si>
  <si>
    <t>Tulajdonosokkal tulajdonosi minőségben folytatott tranzakciók értéke 2021. december 31-ével végződő évre</t>
  </si>
  <si>
    <t>3 months to March 2021</t>
  </si>
  <si>
    <t>Changes in the fair value of financial instruments at fair value through other comprehensive income</t>
  </si>
  <si>
    <t>Egyéb átfogó eredményben valós értéken értékelt pénzügyi instrumentumok</t>
  </si>
  <si>
    <t>Átfogó eredmény  2021. március 31-én</t>
  </si>
  <si>
    <t>6 months to June 2021</t>
  </si>
  <si>
    <t>Transfer of gain on disposal of equity investments at fair value through other comprehensive income to retained earnings</t>
  </si>
  <si>
    <t>Egyéb átfogó eredménnyel szemben valós értéken értékelt tőkebefektetések értékesítésén realizált nyereség átsorolása az eredménytartalékba</t>
  </si>
  <si>
    <t>Changes in the fair value of financial assets at fair value through other comprehensive income</t>
  </si>
  <si>
    <t>Egyéb átfogó eredménnyel szemben valós értéken értékelt pénzügyi eszközök</t>
  </si>
  <si>
    <t>9 months to September 2021</t>
  </si>
  <si>
    <t>For the year ended 31 December 2021</t>
  </si>
  <si>
    <t>Transfer of gain on disposal of equity investments at FVOCI to retained earnings</t>
  </si>
  <si>
    <t>Consolidated Financial (loss)/income</t>
  </si>
  <si>
    <t>Konszolidált Pénzügyi tevékenység eredménye</t>
  </si>
  <si>
    <t>NET FINANCIAL (LOSS)/INCOME</t>
  </si>
  <si>
    <t>PÉNZÜGYI TEVÉKENYSÉG EREDMÉNYE</t>
  </si>
  <si>
    <t>Unrealised financial items</t>
  </si>
  <si>
    <t>Nem realizált tételek</t>
  </si>
  <si>
    <t>Exchange (loss)/gain on trade receivables and trade payables</t>
  </si>
  <si>
    <t>Vevő-,ill. szállítóállomány átértékelése</t>
  </si>
  <si>
    <t>(Loss)/gain on foreign currency loans receivable</t>
  </si>
  <si>
    <t>Devizakölcsönök átértékelése</t>
  </si>
  <si>
    <t>(Loss)/gain on foreign currency securities</t>
  </si>
  <si>
    <t>Devizás értékpapírok átértékelése</t>
  </si>
  <si>
    <t>Foreign exchange difference of other financial assets and liabilities</t>
  </si>
  <si>
    <t>Egyéb devizás tételek értékelése</t>
  </si>
  <si>
    <t>Unwinding of discounted value related to contingent-deferred purchase price liabilities</t>
  </si>
  <si>
    <t>Halasztott-függő vételár kötelezettségek időérték változása</t>
  </si>
  <si>
    <t>Result of unrealised forward exchange contracts</t>
  </si>
  <si>
    <t>Határidős ügyletek nem realizált eredménye</t>
  </si>
  <si>
    <t>Unrealised loss of cash-flow hedge (reclassification from OCI)</t>
  </si>
  <si>
    <t>Cash-flow fedezeti ügyletek nem realizált vesztesége (Egyéb átfogó eredményből átsorolva)</t>
  </si>
  <si>
    <t>Interest expenses related to IFRS 16 standard*</t>
  </si>
  <si>
    <t>IFRS 16 szabványhoz kapcsolódó kamatráfordítás*</t>
  </si>
  <si>
    <t>Foreign exchange difference related to IFRS 16 standard</t>
  </si>
  <si>
    <t>IFRS 16 szabványhoz kapcsolódó átértékelés</t>
  </si>
  <si>
    <t>Exchange (loss)/gain on other currency related items</t>
  </si>
  <si>
    <t>Egyéb devizás tételek átértékelése</t>
  </si>
  <si>
    <t>Unrealised fair value difference on financial instruments</t>
  </si>
  <si>
    <t>Pénzügyi instrumentumok valós értékelési különbözete</t>
  </si>
  <si>
    <t>Impairment loss on investments</t>
  </si>
  <si>
    <t>Befektetések értékvesztése</t>
  </si>
  <si>
    <t>Realised financial items</t>
  </si>
  <si>
    <t>Realizált tételek</t>
  </si>
  <si>
    <t>Gain/(Loss) on forward exchange contracts</t>
  </si>
  <si>
    <t>Határidős devizaügyletek realizált pénzügyi eredménye</t>
  </si>
  <si>
    <t>Exchange (loss)/gain realised on trade receivables and trade payables</t>
  </si>
  <si>
    <t>Követelések, kötelezettségek (árfolyamvesztesége)/árfolyamnyeresége</t>
  </si>
  <si>
    <t>Foreign exchange difference on conversion of cash</t>
  </si>
  <si>
    <t>Devizaátváltás (árfolyamvesztesége)/árfolyamnyeresége</t>
  </si>
  <si>
    <t>Dividend income</t>
  </si>
  <si>
    <t>Interest income</t>
  </si>
  <si>
    <t>Interest expense</t>
  </si>
  <si>
    <t>Kamatráfordítások</t>
  </si>
  <si>
    <t>Gain/(Loss) of cash-flow hedge (reclassification from OCI)</t>
  </si>
  <si>
    <t>Cash-flow fedezeti ügyletek realizált nyeresége/(vesztesége) (átfogó eredményből átsorolva)</t>
  </si>
  <si>
    <t>Result of sale of equity instruments</t>
  </si>
  <si>
    <t>Értékpapír értékesítés eredménye</t>
  </si>
  <si>
    <t>Other financial items</t>
  </si>
  <si>
    <t>Egyéb pénzügyi tételek</t>
  </si>
  <si>
    <t>(Loss)/Gain on foreign currency loans receivable</t>
  </si>
  <si>
    <t>Gain on foreign currency securities</t>
  </si>
  <si>
    <t>Interest expenses related to IFRS 16 standard</t>
  </si>
  <si>
    <t>IFRS 16 szabványhoz kapcsolódó kamatráfordítás</t>
  </si>
  <si>
    <t>Note: *	Based on the decision of the management the result of revaluation of liabilities related to leases and interest expense effect of IFRS16 Leases Standard are presented on this line jointly. Considering the low profit impacts of IFRS 16 adjustments further subcategories are not presented.</t>
  </si>
  <si>
    <t>Megjegyzések: *A vezetőség döntése értelmében a Richter Csoport az IFRS 16 Lízingek szerződés alkalmazásának kamat és deviza átértékelés / árfolyam hatását a fenti soron, összevontan mutatja ki, annak további alábontását és strukturálását az eredményhatás mértékét figyelembe véve nem tartja szükségesnek.</t>
  </si>
  <si>
    <t>% of total pharma</t>
  </si>
  <si>
    <t xml:space="preserve">Total pharma </t>
  </si>
  <si>
    <t>Gyógyszergyártás összesen</t>
  </si>
  <si>
    <t>Neuropsychiatry (CNS)</t>
  </si>
  <si>
    <t>Neuropszichiátria (CNS)</t>
  </si>
  <si>
    <t>Women's Healthcare (WHC)</t>
  </si>
  <si>
    <t>Nőgyógyászat (WHC)</t>
  </si>
  <si>
    <t>Biotechnology(BIO)</t>
  </si>
  <si>
    <t>Biotechnológia (BIO)</t>
  </si>
  <si>
    <t>General Medicines (GM)</t>
  </si>
  <si>
    <t>Pharma other</t>
  </si>
  <si>
    <t>Pharma egyéb</t>
  </si>
  <si>
    <t>Other&amp;Eliminations *</t>
  </si>
  <si>
    <t>Egyéb&amp;Kiszűrések *</t>
  </si>
  <si>
    <t>Group Total</t>
  </si>
  <si>
    <t>Csoport összesen</t>
  </si>
  <si>
    <t>Total pharma</t>
  </si>
  <si>
    <t>Clean EBIT**</t>
  </si>
  <si>
    <t>Tisztított EBIT**</t>
  </si>
  <si>
    <t>COGS</t>
  </si>
  <si>
    <t>Megjegyzések:</t>
  </si>
  <si>
    <t>*As a consequence of Richter’s announcement in October 2022 on selling its Wholesale and retail business in Romania business segments have been narrowed down to Pharma and Other segment, the latter including the remaining wholesale and retail business of the Group and all other activities that had been previously presented as ‘Other’ segment. The transaction was closed on 15 May 2023, therefore all financial records presented in H1 2023 reporting period in respect of these Romanian companies only include data in respect of the five months to May 2023.</t>
  </si>
  <si>
    <t>*A Richter romániai kis- és nagykereskedelmi üzleti érdekeltségeinek 2022 októberében történt eladásának következményeképpen az üzleti szegmensek köre a Gyógyszergyártásra és az Egyéb szegmensekre szűkült le. Utóbbi magában foglalja a Csoport fennmaradó kis- és nagykereskedelmi üzletágát, valamint minden olyan tevékenységet, amely korábban az Egyéb szegmens körébe tartozott. A tranzakciót 2023. május 15-én zárták le, így valamennyi 2023. I. féléves pénzügyi kimutatás a fenti román vállalatokra vonatkozóan csak a 2023. évi 1-5. havi adatokat tartalmazza.</t>
  </si>
  <si>
    <t>**Clean EBIT (cEBIT): Gross profit less Operating Expenses (S&amp;M, G&amp;A, R&amp;D) less Clawback expenses plus milestone income. cEBIT represents the profitability as a result of core business activity, excluding any one-off items</t>
  </si>
  <si>
    <t>**Tisztított EBIT: Bruttó fedezet - működési költségek (Értékesítési és marketing költségek, Igazgatási és egyéb működési költségek, Kutatás-fejlesztés költségei) – claw-back + mérföldkő bevétel. A Tisztított mutató az egyedi hatásoktól megtisztított alaptevékenység eredményességét tükrözi.</t>
  </si>
  <si>
    <t>Pharma Total</t>
  </si>
  <si>
    <t>Pharma Összesen</t>
  </si>
  <si>
    <t>CNS</t>
  </si>
  <si>
    <t>Neuropszichiátria</t>
  </si>
  <si>
    <t>General &amp; Administrative</t>
  </si>
  <si>
    <t>Milestone income</t>
  </si>
  <si>
    <t>Mérföldkő</t>
  </si>
  <si>
    <t>Clean EBIT* margin</t>
  </si>
  <si>
    <t>Tisztított EBIT* hányad</t>
  </si>
  <si>
    <t>Note:</t>
  </si>
  <si>
    <t>Megjegyzés:</t>
  </si>
  <si>
    <t>*Clean EBIT (cEBIT): Gross profit less Operating Expenses (S&amp;M, G&amp;A, R&amp;D) less Clawback expenses plus milestone income. cEBIT represents the profitability as a result of core business activity, excluding any one-off items</t>
  </si>
  <si>
    <t>*Tisztított EBIT: Bruttó fedezet - működési költségek (Értékesítési és marketing költségek, Igazgatási és egyéb működési költségek, Kutatás-fejlesztés költségei) – claw-back + mérföldkő bevétel. A Tisztított mutató az egyedi hatásoktól megtisztított alaptevékenység eredményességét tükrözi.</t>
  </si>
  <si>
    <t>Revenue by regions</t>
  </si>
  <si>
    <t>Árbevétel régiónként</t>
  </si>
  <si>
    <t>Cariprazine</t>
  </si>
  <si>
    <t>Vraylar royalty</t>
  </si>
  <si>
    <t>USA</t>
  </si>
  <si>
    <t>Canada</t>
  </si>
  <si>
    <t>Kanada</t>
  </si>
  <si>
    <t>Puerto Rico</t>
  </si>
  <si>
    <t>Reagila (product&amp;royalty)</t>
  </si>
  <si>
    <t>Reagila (termék és royalty)</t>
  </si>
  <si>
    <t>WHC</t>
  </si>
  <si>
    <t>Nőgyógyászat</t>
  </si>
  <si>
    <t>Bruttó fedeztei hányad</t>
  </si>
  <si>
    <t>Spain</t>
  </si>
  <si>
    <t>Spanyolország</t>
  </si>
  <si>
    <t>Germany</t>
  </si>
  <si>
    <t>Németország</t>
  </si>
  <si>
    <t>Italy</t>
  </si>
  <si>
    <t>Olaszország</t>
  </si>
  <si>
    <t>United Kingdom</t>
  </si>
  <si>
    <t>Egyesült Királyság</t>
  </si>
  <si>
    <t>France</t>
  </si>
  <si>
    <t>Franciaország</t>
  </si>
  <si>
    <t>Poland</t>
  </si>
  <si>
    <t>Lengyelország</t>
  </si>
  <si>
    <t>Russia</t>
  </si>
  <si>
    <t>Oroszország</t>
  </si>
  <si>
    <t>China</t>
  </si>
  <si>
    <t>Kína</t>
  </si>
  <si>
    <t>Mexico</t>
  </si>
  <si>
    <t>Mexikó</t>
  </si>
  <si>
    <t>Ratios as of total WHC revenue</t>
  </si>
  <si>
    <t>Teljes WHC árbevételhez viszonyított arányok</t>
  </si>
  <si>
    <t>Key products</t>
  </si>
  <si>
    <t>Kiemelt termékek</t>
  </si>
  <si>
    <t>OCs</t>
  </si>
  <si>
    <r>
      <t>of which Drovelis</t>
    </r>
    <r>
      <rPr>
        <sz val="10"/>
        <color rgb="FF1F3764"/>
        <rFont val="Calibri"/>
        <family val="2"/>
        <charset val="238"/>
      </rPr>
      <t>®</t>
    </r>
  </si>
  <si>
    <r>
      <t>amelyből Drovelis</t>
    </r>
    <r>
      <rPr>
        <vertAlign val="superscript"/>
        <sz val="10"/>
        <color rgb="FF1F3764"/>
        <rFont val="Verdana"/>
        <family val="2"/>
        <charset val="238"/>
      </rPr>
      <t>®</t>
    </r>
  </si>
  <si>
    <r>
      <t>Bemfola</t>
    </r>
    <r>
      <rPr>
        <sz val="10"/>
        <color rgb="FF1F3764"/>
        <rFont val="Calibri"/>
        <family val="2"/>
        <charset val="238"/>
      </rPr>
      <t>®</t>
    </r>
  </si>
  <si>
    <r>
      <t>Evra</t>
    </r>
    <r>
      <rPr>
        <sz val="10"/>
        <color rgb="FF1F3764"/>
        <rFont val="Calibri"/>
        <family val="2"/>
        <charset val="238"/>
      </rPr>
      <t>®</t>
    </r>
  </si>
  <si>
    <r>
      <t>Cyclogest</t>
    </r>
    <r>
      <rPr>
        <sz val="10"/>
        <color rgb="FF1F3764"/>
        <rFont val="Calibri"/>
        <family val="2"/>
        <charset val="238"/>
      </rPr>
      <t>®</t>
    </r>
  </si>
  <si>
    <r>
      <t>Ryeqo</t>
    </r>
    <r>
      <rPr>
        <sz val="10"/>
        <color rgb="FF1F3764"/>
        <rFont val="Calibri"/>
        <family val="2"/>
        <charset val="238"/>
      </rPr>
      <t>®</t>
    </r>
  </si>
  <si>
    <r>
      <t>Lenzetto</t>
    </r>
    <r>
      <rPr>
        <sz val="10"/>
        <color rgb="FF1F3764"/>
        <rFont val="Calibri"/>
        <family val="2"/>
        <charset val="238"/>
      </rPr>
      <t>®</t>
    </r>
  </si>
  <si>
    <t>Total revenue</t>
  </si>
  <si>
    <t>Ratio as a % of total WHC revenue</t>
  </si>
  <si>
    <t>Teljes WHC árbevételhez viszonyított aránya</t>
  </si>
  <si>
    <t>BIO</t>
  </si>
  <si>
    <t>Biotechnológia</t>
  </si>
  <si>
    <t xml:space="preserve">BIO  </t>
  </si>
  <si>
    <t>Breakdown of revenue</t>
  </si>
  <si>
    <t>Árbevétel megoszlása</t>
  </si>
  <si>
    <t>Teriparatide</t>
  </si>
  <si>
    <t>CDMO</t>
  </si>
  <si>
    <t>General Medicines</t>
  </si>
  <si>
    <t>GM</t>
  </si>
  <si>
    <t>of which</t>
  </si>
  <si>
    <t>amelyből</t>
  </si>
  <si>
    <t>Hungary</t>
  </si>
  <si>
    <t>Magyarország</t>
  </si>
  <si>
    <t>Romania</t>
  </si>
  <si>
    <t>Románia</t>
  </si>
  <si>
    <t>Kazakhstan</t>
  </si>
  <si>
    <t>Kazahsztán</t>
  </si>
  <si>
    <t>Ukraine</t>
  </si>
  <si>
    <t>Ukrajna</t>
  </si>
  <si>
    <t>Uzbekistan</t>
  </si>
  <si>
    <t>Üzbegisztán</t>
  </si>
  <si>
    <t>Ratios as of total GM revenue</t>
  </si>
  <si>
    <t>Teljes GM árbevételhez viszonyított arányok</t>
  </si>
  <si>
    <t>Pharmaceutical segment Revenues</t>
  </si>
  <si>
    <t>Top10 countries</t>
  </si>
  <si>
    <t>Top10 ország</t>
  </si>
  <si>
    <t>Top10 products</t>
  </si>
  <si>
    <t>Top10 termék</t>
  </si>
  <si>
    <r>
      <t>Evra</t>
    </r>
    <r>
      <rPr>
        <vertAlign val="superscript"/>
        <sz val="10"/>
        <color rgb="FF1F3764"/>
        <rFont val="Verdana"/>
        <family val="2"/>
        <charset val="238"/>
      </rPr>
      <t>®</t>
    </r>
  </si>
  <si>
    <t>Escapelle</t>
  </si>
  <si>
    <t>Mydeton</t>
  </si>
  <si>
    <r>
      <t>Bemfola</t>
    </r>
    <r>
      <rPr>
        <vertAlign val="superscript"/>
        <sz val="10"/>
        <color rgb="FF1F3764"/>
        <rFont val="Verdana"/>
        <family val="2"/>
        <charset val="238"/>
      </rPr>
      <t>®</t>
    </r>
  </si>
  <si>
    <r>
      <t>Terrosa</t>
    </r>
    <r>
      <rPr>
        <vertAlign val="superscript"/>
        <sz val="10"/>
        <color rgb="FF1F3764"/>
        <rFont val="Verdana"/>
        <family val="2"/>
        <charset val="238"/>
      </rPr>
      <t>®</t>
    </r>
  </si>
  <si>
    <t>Cavinton</t>
  </si>
  <si>
    <t>Panangin</t>
  </si>
  <si>
    <t>Verospiron</t>
  </si>
  <si>
    <t>Drospirenone</t>
  </si>
  <si>
    <t>Note: As of latest reported period.</t>
  </si>
  <si>
    <t>Megjegyzés: Az utolsó jelentett időszak adatai szerint.</t>
  </si>
  <si>
    <t>Ownership</t>
  </si>
  <si>
    <t>Tulajdonosok</t>
  </si>
  <si>
    <r>
      <t xml:space="preserve">Ordinary shares </t>
    </r>
    <r>
      <rPr>
        <i/>
        <sz val="9"/>
        <color rgb="FFFFFFFF"/>
        <rFont val="Verdana"/>
        <family val="2"/>
        <charset val="238"/>
      </rPr>
      <t>(Törzsrészvények)</t>
    </r>
  </si>
  <si>
    <r>
      <t xml:space="preserve">Share capital </t>
    </r>
    <r>
      <rPr>
        <i/>
        <sz val="9"/>
        <color rgb="FFFFFFFF"/>
        <rFont val="Verdana"/>
        <family val="2"/>
        <charset val="238"/>
      </rPr>
      <t>(Jegyzett tőke)</t>
    </r>
  </si>
  <si>
    <t>pcs</t>
  </si>
  <si>
    <t>%</t>
  </si>
  <si>
    <r>
      <t xml:space="preserve">pcs </t>
    </r>
    <r>
      <rPr>
        <i/>
        <sz val="9"/>
        <color rgb="FFFFFFFF"/>
        <rFont val="Verdana"/>
        <family val="2"/>
        <charset val="238"/>
      </rPr>
      <t>(db)</t>
    </r>
  </si>
  <si>
    <t>Domestic ownership</t>
  </si>
  <si>
    <t>Belföldi tulajdonosok</t>
  </si>
  <si>
    <t>State ownership total</t>
  </si>
  <si>
    <t>Magyar állam összesen</t>
  </si>
  <si>
    <t>of which HNMA Inc.</t>
  </si>
  <si>
    <t>ebből MNV Zrt.</t>
  </si>
  <si>
    <t>of which Municipality</t>
  </si>
  <si>
    <t>ebből Önkormányzatok</t>
  </si>
  <si>
    <t>Institutional investors</t>
  </si>
  <si>
    <t>Intézményi Befektetők</t>
  </si>
  <si>
    <t>of which Maecenas Universitatis Corvini Foundation</t>
  </si>
  <si>
    <t>ebből Maecenas Universitatis Corvini Alapítvány</t>
  </si>
  <si>
    <t>of which Mathias Corvinus Collegium Foundation</t>
  </si>
  <si>
    <t>ebből Mathias Corvinus Collegium Alapítvány</t>
  </si>
  <si>
    <t>of which Foundation for National Health and Education of Medical Doctors</t>
  </si>
  <si>
    <t>ebből Nemzeti Egészségügyi és Orvosképzésért Alapítvány</t>
  </si>
  <si>
    <t>of which Tihanyi Foundation</t>
  </si>
  <si>
    <t>ebből Tihanyi Alapítvány</t>
  </si>
  <si>
    <t>of which other domestic institutional investors</t>
  </si>
  <si>
    <t>ebből egyéb belföldi intézményi befektetők</t>
  </si>
  <si>
    <t>Retail investors</t>
  </si>
  <si>
    <t>Magánbefektetők</t>
  </si>
  <si>
    <t>International ownership</t>
  </si>
  <si>
    <t>Külföldi tulajdonosok</t>
  </si>
  <si>
    <t>of which FMR LLC</t>
  </si>
  <si>
    <t>ebből FMR LLC</t>
  </si>
  <si>
    <t>Treasury shares and shares transferred to ESOT*</t>
  </si>
  <si>
    <t>Saját részvények és MRP-nek átadott részvények*</t>
  </si>
  <si>
    <t>Undisclosed ownership</t>
  </si>
  <si>
    <t>Nem nevesített tulajdonosok</t>
  </si>
  <si>
    <t xml:space="preserve">Note: </t>
  </si>
  <si>
    <t xml:space="preserve">Megjegyzés: </t>
  </si>
  <si>
    <t>* Treasury shares with exception of those owned by ESOT do not have voting rights attached.</t>
  </si>
  <si>
    <t>* A saját részvényeknek, az MRP szervezet által tulajdonolt részvények kivételével nincs szavazati joga.</t>
  </si>
  <si>
    <t>Business Units</t>
  </si>
  <si>
    <t xml:space="preserve">Official definition </t>
  </si>
  <si>
    <t>Key strategic goal</t>
  </si>
  <si>
    <t>Type of products</t>
  </si>
  <si>
    <t>Therapeutic area</t>
  </si>
  <si>
    <t>Short name</t>
  </si>
  <si>
    <t>Long name</t>
  </si>
  <si>
    <t>Original</t>
  </si>
  <si>
    <t>Generics</t>
  </si>
  <si>
    <t>Biosimilar</t>
  </si>
  <si>
    <t>Women’s Healthcare</t>
  </si>
  <si>
    <t>We look after women’s health globally by setting trends in female fertility, uterine fibroids / endometriosis, female contraception, vaginal infections, menopause and female technology.</t>
  </si>
  <si>
    <t>By addressing unmet needs and staying ahead of innovation we aim to become the leading provider of pharmaceutical products for European women by the end of the decade.</t>
  </si>
  <si>
    <t>x</t>
  </si>
  <si>
    <t>Neuropsychiatry</t>
  </si>
  <si>
    <t>Leveraging our world class early phase R&amp;D capability in the central nervous system domain we build a pipeline of small molecule drug candidates mainly in the field of neuropsychiatry.</t>
  </si>
  <si>
    <t>Maximize the potential of cariprazine, while developing and partnering original R&amp;D projects that provide the basis for revenue and earnings growth beyond 2030.</t>
  </si>
  <si>
    <t>Biotechnology</t>
  </si>
  <si>
    <t>Leverage our biotechnology platform to develop and manufacture biosimilar drugs for global markets.</t>
  </si>
  <si>
    <t>By establishing ourselves as a relevant player in the Rheumatology/Osteoporosis TA, we aim to become a solid contributor to corporate profits by the end if this  decade. Furthermore, we leverage our biotechnology expertise in providing value to third party clients through our contract development and manufacturing services.</t>
  </si>
  <si>
    <t>Rheumatology, Osteoporosis</t>
  </si>
  <si>
    <t>Comprises our established and generic portfolio in various therapeutic areas in the Central and Eastern European regions.</t>
  </si>
  <si>
    <t>Provide broad access to high quality and affordable medications while remaining a reliable source of revenue growth, scale and margins.</t>
  </si>
  <si>
    <t>Cardiometabolic (Cardiology, Blood, Diabetes), CNS</t>
  </si>
  <si>
    <t>Direct sales of active ingredients and other pharmaceutical products helps to create scale and a more favourable cost structure for the company.</t>
  </si>
  <si>
    <t>n.a.</t>
  </si>
  <si>
    <t>Mixed (excl. WHC)</t>
  </si>
  <si>
    <t>Pharma</t>
  </si>
  <si>
    <t>Pharmaceuticals segment</t>
  </si>
  <si>
    <t>Other</t>
  </si>
  <si>
    <t>Other segment</t>
  </si>
  <si>
    <t>Non-pharmaceutical activities</t>
  </si>
  <si>
    <t>Üzletágak</t>
  </si>
  <si>
    <t>Hivatalos definíció</t>
  </si>
  <si>
    <t>Fő stratégiai célok</t>
  </si>
  <si>
    <t>Terméktípusok</t>
  </si>
  <si>
    <t>Terápiás terület</t>
  </si>
  <si>
    <t>Rövidítés</t>
  </si>
  <si>
    <t>Megnevezés</t>
  </si>
  <si>
    <t>Originális</t>
  </si>
  <si>
    <t>Generikus</t>
  </si>
  <si>
    <t>Bioszimiláris</t>
  </si>
  <si>
    <t>Világszerte gondoskodunk a nők egészségéről a női termékenység, a méhmióma / endometriózis, a női fogamzásgátlás, a hüvelyi fertőzések, a menopauza és a női egészség területein.</t>
  </si>
  <si>
    <t>A lefedetlen terápiás igényekre adott innovatív megoldásainkkal célunk, hogy az évtized végére Európa elsőszámú gyógyszeripari szereplőjévé váljunk a nőgyógyászati termékek piacán.</t>
  </si>
  <si>
    <t>A központi idegrendszeri terápiás területen meglévő korai fázisú világszínvonalú K+F képességeinkre alapozva tovább építjük, főként a neuropszichiátria területén, a kismolekulás gyógyszerkutatási portfóliónkat.</t>
  </si>
  <si>
    <t>A cariprazine-ban rejlő értékesítési lehetőségek maximalizálása mellett az originális K+F projektek saját és partnerekkel történő fejlesztése biztosítja az árbevétel és a jövedelmezőség növekedését 2030 után.</t>
  </si>
  <si>
    <t>Célunk a biotechnológiai platformunk kihasználása bioszimiláris termékfejlesztésre és  gyártásra globális piacok számára.</t>
  </si>
  <si>
    <t>A reumatológia, valamint csont és ízületi terápiás területeken releváns szereplővé válunk, mellyel a vállalati nyereségességhez stabilan hozzájárulunk az évtized végére. Emellett harmadik feleknek nyújtott bérgyártási és -fejlesztési szolgáltatásokkal emeljük bevételeinket és javítjuk költségszerkezetünket.</t>
  </si>
  <si>
    <t>Reumatológia, Oszteoporózis</t>
  </si>
  <si>
    <t>Különböző terápiás területeket magába foglaló, generikus és tradicionális gyógyszerportfolió, erős közép- és kelet-európai földrajzi fókusszal.</t>
  </si>
  <si>
    <t>Széles körű hozzáférést biztosítunk a magas minőségű és megfizethető gyógyszereinkhez, mely tevékenység megbízható forrása marad a jövőbeli bevételnövekedésnek és jövedelmezőségnek.</t>
  </si>
  <si>
    <t>Kardiometabolikus rendellenességek (Kardiológia, Blood, Diabetes), CNS</t>
  </si>
  <si>
    <t>A hatóanyagok és egyéb gyógyszeripari termékek közvetlen értékesítése segít a vállalat számára egy méretgazdaságos és kedvezőbb költségszerkezet kialakításában.</t>
  </si>
  <si>
    <t>Egyebek (kivéve nőgyógyászat)</t>
  </si>
  <si>
    <t>Gyógyszergyártás</t>
  </si>
  <si>
    <t>Egyéb</t>
  </si>
  <si>
    <t>Nem gyógyszergyártáshoz kapcsolódó tevékenységek</t>
  </si>
  <si>
    <t>Period averages / Időszaki átlag</t>
  </si>
  <si>
    <t>EURHUF</t>
  </si>
  <si>
    <t>USDHUF</t>
  </si>
  <si>
    <t>RUBHUF</t>
  </si>
  <si>
    <t>End of period / Időszaki záró</t>
  </si>
  <si>
    <t>Mar 2018</t>
  </si>
  <si>
    <t>Sep 2018</t>
  </si>
  <si>
    <t>Mar 2019</t>
  </si>
  <si>
    <t>Sep 2019</t>
  </si>
  <si>
    <t>Mar 2020</t>
  </si>
  <si>
    <t>Sep 2020</t>
  </si>
  <si>
    <t>Mar 2021</t>
  </si>
  <si>
    <t>Sep 2021</t>
  </si>
  <si>
    <t>Mar 2022</t>
  </si>
  <si>
    <t>Sep 2022</t>
  </si>
  <si>
    <t>Mar 2023</t>
  </si>
  <si>
    <t>Regional mapping</t>
  </si>
  <si>
    <t>Regionális besorolás</t>
  </si>
  <si>
    <t>Country</t>
  </si>
  <si>
    <t>Current Region Long Name</t>
  </si>
  <si>
    <t>Current Region Short Name</t>
  </si>
  <si>
    <t>Previous Region Long Name</t>
  </si>
  <si>
    <t>Previous Region Short Name</t>
  </si>
  <si>
    <t>Ország</t>
  </si>
  <si>
    <t>Aktuális régiós besorolás</t>
  </si>
  <si>
    <t>Régió rövidítése</t>
  </si>
  <si>
    <t>Korábbi régiós besorolás</t>
  </si>
  <si>
    <r>
      <t>Eastern Europe</t>
    </r>
    <r>
      <rPr>
        <vertAlign val="superscript"/>
        <sz val="9"/>
        <color theme="1"/>
        <rFont val="Verdana"/>
        <family val="2"/>
        <charset val="238"/>
      </rPr>
      <t>1</t>
    </r>
  </si>
  <si>
    <t>EEU</t>
  </si>
  <si>
    <r>
      <t>Kelet-Európa</t>
    </r>
    <r>
      <rPr>
        <vertAlign val="superscript"/>
        <sz val="9"/>
        <color theme="1"/>
        <rFont val="Verdana"/>
        <family val="2"/>
        <charset val="238"/>
      </rPr>
      <t>1</t>
    </r>
  </si>
  <si>
    <t>KEU</t>
  </si>
  <si>
    <t>Armenia</t>
  </si>
  <si>
    <t>Commonwealth of Independent States</t>
  </si>
  <si>
    <t>CIS</t>
  </si>
  <si>
    <t>Örményorság</t>
  </si>
  <si>
    <t>Független Államok Közössége</t>
  </si>
  <si>
    <t>FÁK</t>
  </si>
  <si>
    <t>Azerbaijan</t>
  </si>
  <si>
    <t>Azerbajdzsán</t>
  </si>
  <si>
    <t>Belarus</t>
  </si>
  <si>
    <t>Fehéroroszország</t>
  </si>
  <si>
    <t>Georgia</t>
  </si>
  <si>
    <t>Grúzia</t>
  </si>
  <si>
    <t>Kirgizstan</t>
  </si>
  <si>
    <t>Kirgizisztán</t>
  </si>
  <si>
    <t>Moldova</t>
  </si>
  <si>
    <t>Moldávia</t>
  </si>
  <si>
    <t>Tajikistan</t>
  </si>
  <si>
    <t>Tadzsikisztán</t>
  </si>
  <si>
    <t>Turkmenistan</t>
  </si>
  <si>
    <t>Türkmenisztán</t>
  </si>
  <si>
    <t>Central Europe</t>
  </si>
  <si>
    <t>CEU</t>
  </si>
  <si>
    <t>Közép-Európa</t>
  </si>
  <si>
    <t>KÖE</t>
  </si>
  <si>
    <t>Central and Eastern Europe</t>
  </si>
  <si>
    <t>CEE</t>
  </si>
  <si>
    <t>Közép- és Kelet-Európa</t>
  </si>
  <si>
    <t>KKE</t>
  </si>
  <si>
    <t>Bulgaria</t>
  </si>
  <si>
    <t>Bulgária</t>
  </si>
  <si>
    <t>Czech Republic</t>
  </si>
  <si>
    <t>Csehország</t>
  </si>
  <si>
    <t>Slovakia</t>
  </si>
  <si>
    <t>Szlovákia</t>
  </si>
  <si>
    <t>Estonia</t>
  </si>
  <si>
    <t>Észtország</t>
  </si>
  <si>
    <t>Lithuania</t>
  </si>
  <si>
    <t>Litvánia</t>
  </si>
  <si>
    <t>Latvia</t>
  </si>
  <si>
    <t>Lettország</t>
  </si>
  <si>
    <t>Croatia</t>
  </si>
  <si>
    <t>Horvátország</t>
  </si>
  <si>
    <t>Slovenia</t>
  </si>
  <si>
    <t>Szlovénia</t>
  </si>
  <si>
    <t>Albania</t>
  </si>
  <si>
    <t>Rest of the World</t>
  </si>
  <si>
    <t>ROW</t>
  </si>
  <si>
    <t>Albánia</t>
  </si>
  <si>
    <t>Egyéb országok</t>
  </si>
  <si>
    <t>Bosnia and Herzegovina</t>
  </si>
  <si>
    <t>Bosznia-Hercegovina</t>
  </si>
  <si>
    <t>Kosovo</t>
  </si>
  <si>
    <t>Koszovó</t>
  </si>
  <si>
    <t>Montenegro</t>
  </si>
  <si>
    <t>Montenegró</t>
  </si>
  <si>
    <t>Northern Macedonia</t>
  </si>
  <si>
    <t>Észak-Macedónia</t>
  </si>
  <si>
    <t>Serbia</t>
  </si>
  <si>
    <t>Szerbia</t>
  </si>
  <si>
    <t>Western Europe</t>
  </si>
  <si>
    <t>WEU</t>
  </si>
  <si>
    <t>Nyugat-Európa</t>
  </si>
  <si>
    <t>NYEU</t>
  </si>
  <si>
    <t>Portugal</t>
  </si>
  <si>
    <t>Portugália</t>
  </si>
  <si>
    <t>Austria</t>
  </si>
  <si>
    <t>Ausztria</t>
  </si>
  <si>
    <t>Belgium</t>
  </si>
  <si>
    <t>Denmark</t>
  </si>
  <si>
    <t>Dánia</t>
  </si>
  <si>
    <t>Finland</t>
  </si>
  <si>
    <t>Finnország</t>
  </si>
  <si>
    <t>Greece</t>
  </si>
  <si>
    <t>Görögország</t>
  </si>
  <si>
    <t>Ireland</t>
  </si>
  <si>
    <t>Írország</t>
  </si>
  <si>
    <t>Netherlands</t>
  </si>
  <si>
    <t>Hollandia</t>
  </si>
  <si>
    <t>Sweden</t>
  </si>
  <si>
    <t>Svédország</t>
  </si>
  <si>
    <t>Luxembourg</t>
  </si>
  <si>
    <t>Iceland</t>
  </si>
  <si>
    <t>Izland</t>
  </si>
  <si>
    <t>Norway</t>
  </si>
  <si>
    <t>Norvégia</t>
  </si>
  <si>
    <t>Switzerland</t>
  </si>
  <si>
    <t>Svájc</t>
  </si>
  <si>
    <t>San Marino</t>
  </si>
  <si>
    <t>USA (incl. Puerto Rico)</t>
  </si>
  <si>
    <t>North America</t>
  </si>
  <si>
    <t>NORTHAM</t>
  </si>
  <si>
    <t>United States of America</t>
  </si>
  <si>
    <t>USA (beleértve Puerto Rico)</t>
  </si>
  <si>
    <t>Észak-Amerika</t>
  </si>
  <si>
    <t>Amerikai Egyesült Államok</t>
  </si>
  <si>
    <t>Antigua/Barbuda</t>
  </si>
  <si>
    <t>Latin America</t>
  </si>
  <si>
    <t>LATAM</t>
  </si>
  <si>
    <t>LatAm</t>
  </si>
  <si>
    <t>Latin-Amerika</t>
  </si>
  <si>
    <t>Argentina</t>
  </si>
  <si>
    <t>Argentína</t>
  </si>
  <si>
    <t>Aruba</t>
  </si>
  <si>
    <t>Barbados</t>
  </si>
  <si>
    <t>Barbadosz</t>
  </si>
  <si>
    <t>Bolivia</t>
  </si>
  <si>
    <t>Bolívia</t>
  </si>
  <si>
    <t>Brazilia</t>
  </si>
  <si>
    <t>Brazília</t>
  </si>
  <si>
    <t>The Bahamas</t>
  </si>
  <si>
    <t>Bahama-szigetek</t>
  </si>
  <si>
    <t>Chile</t>
  </si>
  <si>
    <t>Colombia</t>
  </si>
  <si>
    <t>Kolumbia</t>
  </si>
  <si>
    <t>Costa Rica</t>
  </si>
  <si>
    <t>Curacao</t>
  </si>
  <si>
    <t>Dominican Republic</t>
  </si>
  <si>
    <t>Dominikai Köztársaság</t>
  </si>
  <si>
    <t>Ecuador</t>
  </si>
  <si>
    <t>Guatemala</t>
  </si>
  <si>
    <t>Jamaica</t>
  </si>
  <si>
    <t>St Kitts&amp;Nevis</t>
  </si>
  <si>
    <t>Cayman Islands</t>
  </si>
  <si>
    <t>Kajmán-szigetek</t>
  </si>
  <si>
    <t>Sain Lucia</t>
  </si>
  <si>
    <t>St.Maarten</t>
  </si>
  <si>
    <t>Panama</t>
  </si>
  <si>
    <t>Peru</t>
  </si>
  <si>
    <t>Paraguay</t>
  </si>
  <si>
    <t>Surinam</t>
  </si>
  <si>
    <t>El Salvador</t>
  </si>
  <si>
    <t>Trinidad Tobago</t>
  </si>
  <si>
    <t>Uruguay</t>
  </si>
  <si>
    <t>Venezuela</t>
  </si>
  <si>
    <t>China (incl. Hong Kong, Macau)</t>
  </si>
  <si>
    <t>Asia &amp; Pacific</t>
  </si>
  <si>
    <t>APAC</t>
  </si>
  <si>
    <t>Kína (beleértve Hong Kong, Makaó)</t>
  </si>
  <si>
    <t>Ázsia–Csendes-óceán</t>
  </si>
  <si>
    <t>Japan</t>
  </si>
  <si>
    <t>Vietnam</t>
  </si>
  <si>
    <t>Vietnám</t>
  </si>
  <si>
    <t>Australia</t>
  </si>
  <si>
    <t>Ausztrália</t>
  </si>
  <si>
    <t>New Zealand</t>
  </si>
  <si>
    <t>Új-Zéland</t>
  </si>
  <si>
    <t>Bangladesh</t>
  </si>
  <si>
    <t>Banglades</t>
  </si>
  <si>
    <t>Indonesia</t>
  </si>
  <si>
    <t>Indonézia</t>
  </si>
  <si>
    <t>India</t>
  </si>
  <si>
    <t>Republic of Korea</t>
  </si>
  <si>
    <t>Koreai Köztársaság</t>
  </si>
  <si>
    <t>Sri Lanka</t>
  </si>
  <si>
    <t>Mongolia</t>
  </si>
  <si>
    <t>Mongólia</t>
  </si>
  <si>
    <t>Malaysia</t>
  </si>
  <si>
    <t>Malajzia</t>
  </si>
  <si>
    <t>Singapore</t>
  </si>
  <si>
    <t>Szingapúr</t>
  </si>
  <si>
    <t>Thailand</t>
  </si>
  <si>
    <t>Thaiföld</t>
  </si>
  <si>
    <t>United Arab Emirates</t>
  </si>
  <si>
    <t>Egyesült Arab Emírségek</t>
  </si>
  <si>
    <t>Bahrain</t>
  </si>
  <si>
    <t>Botswana</t>
  </si>
  <si>
    <t>Egypt</t>
  </si>
  <si>
    <t>Egyiptom</t>
  </si>
  <si>
    <t>Israel</t>
  </si>
  <si>
    <t>Izrael</t>
  </si>
  <si>
    <t>Iran</t>
  </si>
  <si>
    <t>Irán</t>
  </si>
  <si>
    <t>Jordan</t>
  </si>
  <si>
    <t>Jordánia</t>
  </si>
  <si>
    <t>Kenya</t>
  </si>
  <si>
    <t>Kuwait</t>
  </si>
  <si>
    <t>Kuvait</t>
  </si>
  <si>
    <t>Morocco</t>
  </si>
  <si>
    <t>Marokkó</t>
  </si>
  <si>
    <t>Nigeria</t>
  </si>
  <si>
    <t>Nigéria</t>
  </si>
  <si>
    <t>Oman</t>
  </si>
  <si>
    <t>Omán</t>
  </si>
  <si>
    <t>Qatar</t>
  </si>
  <si>
    <t>Katar</t>
  </si>
  <si>
    <t>Saudi Arabia</t>
  </si>
  <si>
    <t>Szaud-Arábia</t>
  </si>
  <si>
    <t>Syria</t>
  </si>
  <si>
    <t>Szíria</t>
  </si>
  <si>
    <t>Swaziland</t>
  </si>
  <si>
    <t>Szváziföld</t>
  </si>
  <si>
    <t>Türkye</t>
  </si>
  <si>
    <t>Törökország</t>
  </si>
  <si>
    <t>Taiwan</t>
  </si>
  <si>
    <t>Tajvan</t>
  </si>
  <si>
    <t>Yemen</t>
  </si>
  <si>
    <t>Jemen</t>
  </si>
  <si>
    <t>South Africa</t>
  </si>
  <si>
    <t>Dél-afrikai Köztársaság</t>
  </si>
  <si>
    <r>
      <rPr>
        <vertAlign val="superscript"/>
        <sz val="11"/>
        <color theme="1"/>
        <rFont val="Verdana"/>
        <family val="2"/>
        <charset val="238"/>
      </rPr>
      <t>1</t>
    </r>
    <r>
      <rPr>
        <sz val="11"/>
        <color theme="1"/>
        <rFont val="Calibri"/>
        <family val="2"/>
        <charset val="238"/>
        <scheme val="minor"/>
      </rPr>
      <t xml:space="preserve"> Includes countries from Central Asia</t>
    </r>
  </si>
  <si>
    <r>
      <rPr>
        <vertAlign val="superscript"/>
        <sz val="11"/>
        <color theme="1"/>
        <rFont val="Verdana"/>
        <family val="2"/>
        <charset val="238"/>
      </rPr>
      <t>1</t>
    </r>
    <r>
      <rPr>
        <sz val="11"/>
        <color theme="1"/>
        <rFont val="Calibri"/>
        <family val="2"/>
        <charset val="238"/>
        <scheme val="minor"/>
      </rPr>
      <t xml:space="preserve"> Közép-ázsiai országokat is tartalmaz</t>
    </r>
  </si>
  <si>
    <t>Definition of non-IFRS items</t>
  </si>
  <si>
    <t>IFRS által nem definiált tételek meghatározása</t>
  </si>
  <si>
    <t>Clean EBIT (cEBIT)</t>
  </si>
  <si>
    <t>Gross profit less op. expenses (S&amp;M, G&amp;A, R&amp;D) less clawback plus milestone income. cEBIT reflects the profitability of the core business, excl. one-offs</t>
  </si>
  <si>
    <t>Tisztított EBIT (cEBIT)</t>
  </si>
  <si>
    <t>Bruttó fedezet mínusz működési költségek (Értékesítési és marketing költségek, Igazgatási és egyéb működési költségek, Kutatás-fejlesztés költségei) - Clawback + mérföldkő bevétel. A cEBIT az alaptevékenység jövedelmezőségét tükrözi, az egyszeri tételek nélkül</t>
  </si>
  <si>
    <t>Constant Exchange Rate (CER)</t>
  </si>
  <si>
    <t>Calculations are based on base period average FX rate</t>
  </si>
  <si>
    <t>Árfolyamtisztított (CER)</t>
  </si>
  <si>
    <t>A számításokat a bázisidőszak átlagárfolyamán hajtották végre.</t>
  </si>
  <si>
    <t>Szabad pénzáramlás (FCF)</t>
  </si>
  <si>
    <t>Free Cash Flow (FCF)</t>
  </si>
  <si>
    <t>EBITDA</t>
  </si>
  <si>
    <t>Operating profit increased by depreciation and amortization expense. From 1 January 2019 the Group has applied the IFRS 16 Leases standard. As a result of this standard, certain rental expenses are capitalised and the expense is charged as depreciation and interest expense. Such depreciation related to the right-of-use assets is not added back when determining the EBITDA.</t>
  </si>
  <si>
    <t>Üzemi tevékenység eredménye megnövelve az értékcsökkenéssel. 2019. január 1-től kezdődően a Csoport alkalmazza az IFRS 16 lízingek standard előírásait. A standard hatására bizonyos bérleti díj költségek aktiválásra kerülnek és értékcsökkenésként, valamint kamatráfordításként kerülnek elszámolásra. A használati jog eszközhöz kapcsolódó értékcsökkenéssel a Csoport nem növeli meg az Üzleti tevékenység eredményét, amikor az EBITDA értékét meghatározza</t>
  </si>
  <si>
    <t>Operating Cash flow after changes in Net Working Capital plus interest received less CAPEX (PP&amp;E)</t>
  </si>
  <si>
    <t>Üzleti tevékenységb származó cash-flow a nettó működőtőke változása után, plusz kapott kamatok mínusz Beruházások (Ingatlanok, üzemi berendezések és felszerelések)</t>
  </si>
  <si>
    <t>Tőkearányos megtérülés (ROE)</t>
  </si>
  <si>
    <t>Profit from operations</t>
  </si>
  <si>
    <t>Üzleti tevékenység eredménye</t>
  </si>
  <si>
    <t>UK</t>
  </si>
  <si>
    <t>March 2024</t>
  </si>
  <si>
    <t>Értékesítésre tartott eszközökkel kapcsolatos kötelezettségek</t>
  </si>
  <si>
    <t>3 months to March 2024</t>
  </si>
  <si>
    <t>Balance at 1January 2024</t>
  </si>
  <si>
    <t>Total comprehensive income at 31 March 2024</t>
  </si>
  <si>
    <t>Egyenleg 2024. január 1-jén</t>
  </si>
  <si>
    <t>Tulajdonosokkal tulajdonosi minőségben folytatott tranzakciók értéke 2024. március 31-ével végződő időszakra</t>
  </si>
  <si>
    <t>Balance at 31 March 2024</t>
  </si>
  <si>
    <t>Egyenleg 2024. március 31-én</t>
  </si>
  <si>
    <t>Az utolsó 4 negyedév kumulált adózott eredménye osztva a tényleges negyedév saját tőkével</t>
  </si>
  <si>
    <t>Cumulative net profit for the last 4 quarters divided by the actual quarter's equity</t>
  </si>
  <si>
    <t>Cash Conversion Cycle (CCC)</t>
  </si>
  <si>
    <t>Mar 2024</t>
  </si>
  <si>
    <t>Business Unit</t>
  </si>
  <si>
    <t>Üzletág</t>
  </si>
  <si>
    <t>Készletek forgási sebessége (nap) + Vevők forgási sebessége (nap) - Szállítók forgási sebessége (nap)</t>
  </si>
  <si>
    <t>Revenues roll (4 periods)</t>
  </si>
  <si>
    <t>COGS roll (4 periods)</t>
  </si>
  <si>
    <t>Revenues/day</t>
  </si>
  <si>
    <t>COGS/day</t>
  </si>
  <si>
    <t>Teljes átfogó eredmény  2024. március 31-ével végződő időszakra</t>
  </si>
  <si>
    <t xml:space="preserve">Purchase of treasury shares </t>
  </si>
  <si>
    <t xml:space="preserve">Transfer of treasury shares </t>
  </si>
  <si>
    <t>Ordinary share dividend for 2023</t>
  </si>
  <si>
    <t>Törzsrészvények után járó osztalék 2023. évre</t>
  </si>
  <si>
    <t>Acquisition of non-controlling interest</t>
  </si>
  <si>
    <t>Nem ellenőrző részesedések kivásárlása</t>
  </si>
  <si>
    <t>Additional paid in capital to subsidiaries</t>
  </si>
  <si>
    <t>Leányvállalatok tőkeemelése</t>
  </si>
  <si>
    <t>Transactions with owners in their capacity as owners for period ended 
31 March 2024</t>
  </si>
  <si>
    <t>Balance at 1 January 2023</t>
  </si>
  <si>
    <t>Egyenleg 2023. január 1-én</t>
  </si>
  <si>
    <t>Teljes átfogó eredmény  2023. szeptember 30-ával végződő időszakra</t>
  </si>
  <si>
    <t>Transactions with owners in their capacity as owners for period ended 
30 September 2023</t>
  </si>
  <si>
    <t>Transactions with owners in their capacity as owners for period ended 
30 June 2023</t>
  </si>
  <si>
    <t>Teljes átfogó eredmény  2023. március 31-ével végződő időszakra</t>
  </si>
  <si>
    <t>Transactions with owners in their capacity as owners for period ended 
31 March 2023</t>
  </si>
  <si>
    <t>Actuarial gain/(loss) on retirement defined benefit plans</t>
  </si>
  <si>
    <t>Aktuáriusi nyereség/(veszteség) a nyugdíjazással kapcsolatos juttatási programokon</t>
  </si>
  <si>
    <t>Egyenleg 2021. január 1-én</t>
  </si>
  <si>
    <t>Total comprehensive income at 31 December 2021</t>
  </si>
  <si>
    <t>Transactions with owners in their capacity as owners for year ended 
31 December 2021</t>
  </si>
  <si>
    <t>Total Comprehensive income at 30 September 2021</t>
  </si>
  <si>
    <t>Total Comprehensive income at 30 June 2021</t>
  </si>
  <si>
    <t xml:space="preserve">Adózott eredmény </t>
  </si>
  <si>
    <t>Egyéb átfogó jövedelemmel szemben valós értéken nyilvántartott tőkebefektetések értékesítésén realizált nyereség átsorolása az eredménytartalékba</t>
  </si>
  <si>
    <t>Comprehensive income at 31 March 2021</t>
  </si>
  <si>
    <t>Adott kölcsön</t>
  </si>
  <si>
    <t>Profit for the period roll (4 periods)</t>
  </si>
  <si>
    <t>Cash conversion cycle (CCC, day)****</t>
  </si>
  <si>
    <t>**** CCC - please note that cash conversion cycle days are recalculated from 2023 based on a revised calculation methodology (details are on the 'Definitions' sheet)</t>
  </si>
  <si>
    <t>**** CCC - a nettó működési ciklus napok 2023-tól egy felülvizsgált módszertan alaján lettek számolva (aminek részletei a 'Definitions' oldalon találhatók)</t>
  </si>
  <si>
    <t xml:space="preserve">Days of inventory outstanding (DIO, day) </t>
  </si>
  <si>
    <t xml:space="preserve">Készletek forgási sebessége (nap) </t>
  </si>
  <si>
    <t xml:space="preserve">Vevők forgási sebessége (nap) </t>
  </si>
  <si>
    <t>Az utolsó negyedéves átlagos készletállománya osztva az utolsó 12 hónap értékesítési költségével szorozva 365-tel</t>
  </si>
  <si>
    <t>Az utolsó negyedéves átlagos vevőállomány osztva az utolsó 12 hónap konszolidált árbevételével szorozva 365-tel</t>
  </si>
  <si>
    <t>Az utolsó negyedéves átlagos szállítói állomány osztva az utolsó 12 hónap értékesítési költségével szorozva 365-tel</t>
  </si>
  <si>
    <t>The last quarter's average inventory divided by the last 12 month's CoGS times 365</t>
  </si>
  <si>
    <t>The last quarter's average receivables divided by the last 12 month's consolidated revenues times 365</t>
  </si>
  <si>
    <t>The last quarter's average payables divided by the last 12 month's CoGS times 365</t>
  </si>
  <si>
    <t>Days of inventory outstanding (DIO, day) + Days of receivables outstanding (DSO, day) - Days of payables outstanding (DPO, day)</t>
  </si>
  <si>
    <t>Acquisition of intangible assets</t>
  </si>
  <si>
    <t>Immateriális javak megvásárlása**</t>
  </si>
  <si>
    <t>Jun 2024</t>
  </si>
  <si>
    <t>Q2 2024</t>
  </si>
  <si>
    <t>H1 2024</t>
  </si>
  <si>
    <t>6 months to June 2024</t>
  </si>
  <si>
    <t>Balance at 1 January 2024</t>
  </si>
  <si>
    <t>Total comprehensive income at 30 June 2024</t>
  </si>
  <si>
    <t>Egyenleg 2024. január 1-én</t>
  </si>
  <si>
    <t>Teljes átfogó eredmény  2024. június 30-ával végződő időszakra</t>
  </si>
  <si>
    <t>Balance at 30 June 2024</t>
  </si>
  <si>
    <t>Egyenleg 2024. június 30-án</t>
  </si>
  <si>
    <t>Hh</t>
  </si>
  <si>
    <t xml:space="preserve"> -</t>
  </si>
  <si>
    <t>Tulajdonosokkal tulajdonosi minőségben folytatott tranzakciók értéke 2024. június 30-ával végződő időszakra</t>
  </si>
  <si>
    <t>For the year ended 31 December 2023</t>
  </si>
  <si>
    <t xml:space="preserve">Balance at 1 January 2023 </t>
  </si>
  <si>
    <t xml:space="preserve">Egyenleg 2023.január 1-jén </t>
  </si>
  <si>
    <t>Total comprehensive income at 31 December 2023</t>
  </si>
  <si>
    <t>Teljes átfogó eredmény  2023. december 31-ével végződő évre</t>
  </si>
  <si>
    <t>Balance at 31 December 2023</t>
  </si>
  <si>
    <t>Egyenleg 2023. december 31-én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</si>
</sst>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
    <numFmt numFmtId="167" formatCode="_(* #,##0.0_);_(* \(#,##0.0\);_(* &quot;-&quot;??_);_(@_)"/>
    <numFmt numFmtId="168" formatCode="#,##0.0"/>
    <numFmt numFmtId="169" formatCode="0.0"/>
    <numFmt numFmtId="170" formatCode="_-* #,##0_-;\-* #,##0_-;_-* &quot;-&quot;??_-;_-@_-"/>
    <numFmt numFmtId="171" formatCode="_-* #,##0.000_-;\-* #,##0.000_-;_-* &quot;-&quot;??_-;_-@_-"/>
    <numFmt numFmtId="172" formatCode="_-* #,##0.0\ _F_t_-;\-* #,##0.0\ _F_t_-;_-* &quot;-&quot;?\ _F_t_-;_-@_-"/>
  </numFmts>
  <fonts count="7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8"/>
      <color rgb="FFFFFFFF"/>
      <name val="Verdana"/>
      <family val="2"/>
      <charset val="238"/>
    </font>
    <font>
      <b/>
      <sz val="9"/>
      <color rgb="FFFFFFFF"/>
      <name val="Verdana"/>
      <family val="2"/>
      <charset val="238"/>
    </font>
    <font>
      <sz val="9"/>
      <color rgb="FFFFFFFF"/>
      <name val="Verdana"/>
      <family val="2"/>
      <charset val="238"/>
    </font>
    <font>
      <b/>
      <sz val="10"/>
      <color rgb="FF1F3764"/>
      <name val="Verdana"/>
      <family val="2"/>
      <charset val="238"/>
    </font>
    <font>
      <b/>
      <sz val="10"/>
      <color rgb="FF002060"/>
      <name val="Verdana"/>
      <family val="2"/>
      <charset val="238"/>
    </font>
    <font>
      <i/>
      <sz val="10"/>
      <color rgb="FF1F3764"/>
      <name val="Verdana"/>
      <family val="2"/>
      <charset val="238"/>
    </font>
    <font>
      <i/>
      <sz val="10"/>
      <color rgb="FF002060"/>
      <name val="Verdana"/>
      <family val="2"/>
      <charset val="238"/>
    </font>
    <font>
      <sz val="10"/>
      <color rgb="FF002060"/>
      <name val="Verdana"/>
      <family val="2"/>
      <charset val="238"/>
    </font>
    <font>
      <sz val="10"/>
      <color rgb="FF1F3764"/>
      <name val="Verdana"/>
      <family val="2"/>
      <charset val="238"/>
    </font>
    <font>
      <b/>
      <i/>
      <sz val="10"/>
      <color rgb="FF1F3764"/>
      <name val="Verdana"/>
      <family val="2"/>
      <charset val="238"/>
    </font>
    <font>
      <sz val="10"/>
      <color rgb="FF002060"/>
      <name val="Calibri"/>
      <family val="2"/>
      <charset val="238"/>
      <scheme val="minor"/>
    </font>
    <font>
      <u val="double"/>
      <sz val="10"/>
      <color rgb="FF002060"/>
      <name val="Verdana"/>
      <family val="2"/>
      <charset val="238"/>
    </font>
    <font>
      <vertAlign val="superscript"/>
      <sz val="10"/>
      <color rgb="FF1F3764"/>
      <name val="Verdana"/>
      <family val="2"/>
      <charset val="238"/>
    </font>
    <font>
      <vertAlign val="superscript"/>
      <sz val="11"/>
      <color theme="1"/>
      <name val="Verdana"/>
      <family val="2"/>
      <charset val="238"/>
    </font>
    <font>
      <sz val="9"/>
      <color theme="1"/>
      <name val="Verdana"/>
      <family val="2"/>
      <charset val="238"/>
    </font>
    <font>
      <vertAlign val="superscript"/>
      <sz val="9"/>
      <color theme="1"/>
      <name val="Verdana"/>
      <family val="2"/>
      <charset val="238"/>
    </font>
    <font>
      <b/>
      <sz val="16"/>
      <color theme="4" tint="-0.249977111117893"/>
      <name val="Calibri"/>
      <family val="2"/>
      <charset val="238"/>
      <scheme val="minor"/>
    </font>
    <font>
      <u/>
      <sz val="11"/>
      <color theme="10"/>
      <name val="Calibri"/>
      <family val="2"/>
      <charset val="238"/>
      <scheme val="minor"/>
    </font>
    <font>
      <u/>
      <sz val="11"/>
      <color theme="4" tint="-0.249977111117893"/>
      <name val="Calibri"/>
      <family val="2"/>
      <charset val="238"/>
      <scheme val="minor"/>
    </font>
    <font>
      <sz val="14"/>
      <color theme="4" tint="-0.249977111117893"/>
      <name val="Calibri"/>
      <family val="2"/>
      <charset val="238"/>
      <scheme val="minor"/>
    </font>
    <font>
      <b/>
      <sz val="12"/>
      <color rgb="FF004A92"/>
      <name val="Calibri"/>
      <family val="2"/>
      <charset val="238"/>
    </font>
    <font>
      <sz val="12"/>
      <color rgb="FF004A92"/>
      <name val="Calibri"/>
      <family val="2"/>
      <charset val="238"/>
    </font>
    <font>
      <sz val="12"/>
      <name val="Arial"/>
      <family val="2"/>
      <charset val="238"/>
    </font>
    <font>
      <b/>
      <sz val="12"/>
      <color rgb="FFFFFFFF"/>
      <name val="Calibri"/>
      <family val="2"/>
      <charset val="238"/>
    </font>
    <font>
      <sz val="12"/>
      <color rgb="FFFFFFFF"/>
      <name val="Calibri"/>
      <family val="2"/>
      <charset val="238"/>
    </font>
    <font>
      <sz val="12"/>
      <color rgb="FFFF0000"/>
      <name val="Arial"/>
      <family val="2"/>
      <charset val="238"/>
    </font>
    <font>
      <sz val="12"/>
      <color theme="4" tint="-0.249977111117893"/>
      <name val="Verdana"/>
      <family val="2"/>
      <charset val="238"/>
    </font>
    <font>
      <b/>
      <sz val="14"/>
      <color rgb="FF004A92"/>
      <name val="Calibri"/>
      <family val="2"/>
      <charset val="238"/>
    </font>
    <font>
      <b/>
      <sz val="10"/>
      <color rgb="FFFFFFFF"/>
      <name val="Verdana"/>
      <family val="2"/>
      <charset val="238"/>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0"/>
      <color theme="4" tint="-0.249977111117893"/>
      <name val="Verdana"/>
      <family val="2"/>
      <charset val="238"/>
    </font>
    <font>
      <u/>
      <sz val="20"/>
      <color theme="4" tint="-0.249977111117893"/>
      <name val="Calibri"/>
      <family val="2"/>
      <charset val="238"/>
      <scheme val="minor"/>
    </font>
    <font>
      <sz val="11"/>
      <color theme="4" tint="-0.249977111117893"/>
      <name val="Calibri"/>
      <family val="2"/>
      <charset val="238"/>
      <scheme val="minor"/>
    </font>
    <font>
      <u/>
      <sz val="14"/>
      <color theme="4" tint="-0.249977111117893"/>
      <name val="Calibri"/>
      <family val="2"/>
      <charset val="238"/>
      <scheme val="minor"/>
    </font>
    <font>
      <i/>
      <sz val="11"/>
      <color theme="1"/>
      <name val="Calibri"/>
      <family val="2"/>
      <charset val="238"/>
      <scheme val="minor"/>
    </font>
    <font>
      <sz val="10"/>
      <name val="Verdana"/>
      <family val="2"/>
      <charset val="238"/>
    </font>
    <font>
      <b/>
      <sz val="9"/>
      <color theme="1"/>
      <name val="Verdana"/>
      <family val="2"/>
      <charset val="238"/>
    </font>
    <font>
      <b/>
      <sz val="10"/>
      <color theme="4" tint="-0.499984740745262"/>
      <name val="Verdana"/>
      <family val="2"/>
      <charset val="238"/>
    </font>
    <font>
      <b/>
      <sz val="10"/>
      <color theme="0"/>
      <name val="Verdana"/>
      <family val="2"/>
      <charset val="238"/>
    </font>
    <font>
      <b/>
      <u/>
      <sz val="10"/>
      <color theme="0"/>
      <name val="Verdana"/>
      <family val="2"/>
      <charset val="238"/>
    </font>
    <font>
      <b/>
      <sz val="21"/>
      <color rgb="FFFF0000"/>
      <name val="Calibri"/>
      <family val="2"/>
      <charset val="238"/>
      <scheme val="minor"/>
    </font>
    <font>
      <sz val="10"/>
      <color rgb="FF1F3764"/>
      <name val="Calibri"/>
      <family val="2"/>
      <charset val="238"/>
    </font>
    <font>
      <sz val="10"/>
      <name val="Arial"/>
      <family val="2"/>
      <charset val="238"/>
    </font>
    <font>
      <i/>
      <sz val="9"/>
      <color rgb="FFFFFFFF"/>
      <name val="Verdana"/>
      <family val="2"/>
      <charset val="238"/>
    </font>
    <font>
      <sz val="11"/>
      <color theme="1"/>
      <name val="Calibri"/>
      <family val="2"/>
      <charset val="238"/>
    </font>
    <font>
      <u/>
      <sz val="11"/>
      <color rgb="FF305496"/>
      <name val="Calibri"/>
      <family val="2"/>
      <charset val="238"/>
    </font>
    <font>
      <sz val="8"/>
      <color rgb="FF1F3764"/>
      <name val="Verdana"/>
      <family val="2"/>
      <charset val="238"/>
    </font>
    <font>
      <sz val="8"/>
      <name val="Calibri"/>
      <family val="2"/>
      <charset val="238"/>
      <scheme val="minor"/>
    </font>
    <font>
      <sz val="11"/>
      <color indexed="9"/>
      <name val="Calibri"/>
      <family val="2"/>
    </font>
    <font>
      <i/>
      <sz val="8"/>
      <color theme="4" tint="-0.249977111117893"/>
      <name val="Verdana"/>
      <family val="2"/>
      <charset val="238"/>
    </font>
    <font>
      <sz val="8"/>
      <color rgb="FF305496"/>
      <name val="Verdana"/>
      <family val="2"/>
      <charset val="238"/>
    </font>
    <font>
      <sz val="9"/>
      <color rgb="FF1F3764"/>
      <name val="Verdana"/>
      <family val="2"/>
      <charset val="238"/>
    </font>
    <font>
      <b/>
      <sz val="10"/>
      <name val="Verdana"/>
      <family val="2"/>
      <charset val="238"/>
    </font>
    <font>
      <sz val="11"/>
      <color rgb="FFFF0000"/>
      <name val="Calibri"/>
      <family val="2"/>
      <charset val="238"/>
      <scheme val="minor"/>
    </font>
    <font>
      <sz val="8"/>
      <color rgb="FFFF0000"/>
      <name val="Verdana"/>
      <family val="2"/>
      <charset val="238"/>
    </font>
    <font>
      <b/>
      <sz val="10"/>
      <color theme="1"/>
      <name val="Verdana"/>
      <family val="2"/>
      <charset val="238"/>
    </font>
    <font>
      <b/>
      <i/>
      <sz val="10"/>
      <name val="Verdana"/>
      <family val="2"/>
      <charset val="238"/>
    </font>
    <font>
      <b/>
      <sz val="11"/>
      <color theme="0"/>
      <name val="Verdana"/>
      <family val="2"/>
      <charset val="238"/>
    </font>
  </fonts>
  <fills count="38">
    <fill>
      <patternFill patternType="none"/>
    </fill>
    <fill>
      <patternFill patternType="gray125"/>
    </fill>
    <fill>
      <patternFill patternType="solid">
        <fgColor rgb="FF1F3764"/>
        <bgColor indexed="64"/>
      </patternFill>
    </fill>
    <fill>
      <patternFill patternType="solid">
        <fgColor theme="4" tint="0.79998168889431442"/>
        <bgColor indexed="64"/>
      </patternFill>
    </fill>
    <fill>
      <patternFill patternType="solid">
        <fgColor theme="0"/>
        <bgColor indexed="64"/>
      </patternFill>
    </fill>
    <fill>
      <patternFill patternType="solid">
        <fgColor rgb="FFF2F2F2"/>
        <bgColor indexed="64"/>
      </patternFill>
    </fill>
    <fill>
      <patternFill patternType="solid">
        <fgColor rgb="FFD7EFF9"/>
        <bgColor indexed="64"/>
      </patternFill>
    </fill>
    <fill>
      <patternFill patternType="solid">
        <fgColor rgb="FF004A92"/>
        <bgColor indexed="64"/>
      </patternFill>
    </fill>
    <fill>
      <patternFill patternType="solid">
        <fgColor rgb="FF39B1E2"/>
        <bgColor indexed="64"/>
      </patternFill>
    </fill>
    <fill>
      <patternFill patternType="solid">
        <fgColor indexed="40"/>
      </patternFill>
    </fill>
    <fill>
      <patternFill patternType="solid">
        <fgColor indexed="29"/>
      </patternFill>
    </fill>
    <fill>
      <patternFill patternType="solid">
        <fgColor indexed="45"/>
      </patternFill>
    </fill>
    <fill>
      <patternFill patternType="solid">
        <fgColor indexed="57"/>
      </patternFill>
    </fill>
    <fill>
      <patternFill patternType="solid">
        <fgColor indexed="10"/>
      </patternFill>
    </fill>
    <fill>
      <patternFill patternType="solid">
        <fgColor indexed="51"/>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4" tint="-0.499984740745262"/>
        <bgColor indexed="64"/>
      </patternFill>
    </fill>
    <fill>
      <patternFill patternType="solid">
        <fgColor theme="9" tint="0.79998168889431442"/>
        <bgColor indexed="64"/>
      </patternFill>
    </fill>
    <fill>
      <patternFill patternType="solid">
        <fgColor rgb="FF1F3764"/>
        <bgColor rgb="FF000000"/>
      </patternFill>
    </fill>
    <fill>
      <patternFill patternType="solid">
        <fgColor rgb="FFD9E1F2"/>
        <bgColor rgb="FF000000"/>
      </patternFill>
    </fill>
    <fill>
      <patternFill patternType="solid">
        <fgColor theme="4" tint="0.79998168889431442"/>
        <bgColor rgb="FF000000"/>
      </patternFill>
    </fill>
    <fill>
      <patternFill patternType="solid">
        <fgColor rgb="FF002060"/>
        <bgColor indexed="64"/>
      </patternFill>
    </fill>
    <fill>
      <patternFill patternType="solid">
        <fgColor indexed="53"/>
        <bgColor indexed="53"/>
      </patternFill>
    </fill>
    <fill>
      <patternFill patternType="solid">
        <fgColor theme="8" tint="0.79998168889431442"/>
        <bgColor indexed="64"/>
      </patternFill>
    </fill>
    <fill>
      <patternFill patternType="solid">
        <fgColor rgb="FFE2EFDA"/>
        <bgColor indexed="64"/>
      </patternFill>
    </fill>
  </fills>
  <borders count="110">
    <border>
      <left/>
      <right/>
      <top/>
      <bottom/>
      <diagonal/>
    </border>
    <border>
      <left style="medium">
        <color rgb="FFFFFFFF"/>
      </left>
      <right/>
      <top style="medium">
        <color rgb="FFFFFFFF"/>
      </top>
      <bottom/>
      <diagonal/>
    </border>
    <border>
      <left style="medium">
        <color rgb="FFFFFFFF"/>
      </left>
      <right style="medium">
        <color rgb="FFFFFFFF"/>
      </right>
      <top style="medium">
        <color rgb="FFFFFFFF"/>
      </top>
      <bottom style="thick">
        <color rgb="FFFFFFFF"/>
      </bottom>
      <diagonal/>
    </border>
    <border>
      <left style="medium">
        <color rgb="FFFFFFFF"/>
      </left>
      <right/>
      <top/>
      <bottom/>
      <diagonal/>
    </border>
    <border>
      <left style="medium">
        <color rgb="FFFFFFFF"/>
      </left>
      <right style="medium">
        <color rgb="FFFFFFFF"/>
      </right>
      <top style="thick">
        <color rgb="FFFFFFFF"/>
      </top>
      <bottom/>
      <diagonal/>
    </border>
    <border>
      <left/>
      <right/>
      <top/>
      <bottom style="dashed">
        <color theme="3"/>
      </bottom>
      <diagonal/>
    </border>
    <border>
      <left/>
      <right/>
      <top style="dashed">
        <color theme="3"/>
      </top>
      <bottom style="dashed">
        <color theme="3"/>
      </bottom>
      <diagonal/>
    </border>
    <border>
      <left/>
      <right/>
      <top style="dashed">
        <color theme="3"/>
      </top>
      <bottom/>
      <diagonal/>
    </border>
    <border>
      <left/>
      <right/>
      <top style="dashed">
        <color auto="1"/>
      </top>
      <bottom style="dashed">
        <color auto="1"/>
      </bottom>
      <diagonal/>
    </border>
    <border>
      <left/>
      <right/>
      <top/>
      <bottom style="medium">
        <color theme="3"/>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right style="thin">
        <color theme="4" tint="-0.249977111117893"/>
      </right>
      <top/>
      <bottom style="thin">
        <color theme="4" tint="-0.249977111117893"/>
      </bottom>
      <diagonal/>
    </border>
    <border>
      <left style="medium">
        <color rgb="FF39B1E2"/>
      </left>
      <right/>
      <top style="medium">
        <color rgb="FF39B1E2"/>
      </top>
      <bottom style="medium">
        <color rgb="FFFFFFFF"/>
      </bottom>
      <diagonal/>
    </border>
    <border>
      <left/>
      <right/>
      <top style="medium">
        <color rgb="FF39B1E2"/>
      </top>
      <bottom style="medium">
        <color rgb="FFFFFFFF"/>
      </bottom>
      <diagonal/>
    </border>
    <border>
      <left/>
      <right/>
      <top style="medium">
        <color rgb="FF39B1E2"/>
      </top>
      <bottom/>
      <diagonal/>
    </border>
    <border>
      <left/>
      <right/>
      <top/>
      <bottom style="medium">
        <color rgb="FF004A92"/>
      </bottom>
      <diagonal/>
    </border>
    <border>
      <left style="medium">
        <color rgb="FF39B1E2"/>
      </left>
      <right style="medium">
        <color rgb="FFFFFFFF"/>
      </right>
      <top style="medium">
        <color rgb="FFFFFFFF"/>
      </top>
      <bottom style="medium">
        <color rgb="FF004A92"/>
      </bottom>
      <diagonal/>
    </border>
    <border>
      <left style="medium">
        <color rgb="FFFFFFFF"/>
      </left>
      <right/>
      <top style="medium">
        <color rgb="FFFFFFFF"/>
      </top>
      <bottom style="medium">
        <color rgb="FF004A92"/>
      </bottom>
      <diagonal/>
    </border>
    <border>
      <left/>
      <right style="medium">
        <color rgb="FFFFFFFF"/>
      </right>
      <top style="medium">
        <color rgb="FFFFFFFF"/>
      </top>
      <bottom style="medium">
        <color rgb="FF004A92"/>
      </bottom>
      <diagonal/>
    </border>
    <border>
      <left style="medium">
        <color rgb="FFFFFFFF"/>
      </left>
      <right style="medium">
        <color rgb="FFFFFFFF"/>
      </right>
      <top style="medium">
        <color rgb="FFFFFFFF"/>
      </top>
      <bottom style="medium">
        <color rgb="FF004A92"/>
      </bottom>
      <diagonal/>
    </border>
    <border>
      <left style="medium">
        <color rgb="FF004A92"/>
      </left>
      <right/>
      <top style="medium">
        <color rgb="FF004A92"/>
      </top>
      <bottom style="thin">
        <color rgb="FFA5A6A5"/>
      </bottom>
      <diagonal/>
    </border>
    <border>
      <left/>
      <right/>
      <top style="medium">
        <color rgb="FF004A92"/>
      </top>
      <bottom style="thin">
        <color rgb="FFA5A6A5"/>
      </bottom>
      <diagonal/>
    </border>
    <border>
      <left/>
      <right style="thick">
        <color rgb="FFFFFFFF"/>
      </right>
      <top style="medium">
        <color rgb="FF004A92"/>
      </top>
      <bottom style="thin">
        <color rgb="FFA5A6A5"/>
      </bottom>
      <diagonal/>
    </border>
    <border>
      <left style="thick">
        <color rgb="FFFFFFFF"/>
      </left>
      <right/>
      <top style="medium">
        <color rgb="FF004A92"/>
      </top>
      <bottom style="thin">
        <color rgb="FFA5A6A5"/>
      </bottom>
      <diagonal/>
    </border>
    <border>
      <left/>
      <right style="medium">
        <color rgb="FF004A92"/>
      </right>
      <top style="medium">
        <color rgb="FF004A92"/>
      </top>
      <bottom style="thin">
        <color rgb="FFA5A6A5"/>
      </bottom>
      <diagonal/>
    </border>
    <border>
      <left style="medium">
        <color rgb="FF004A92"/>
      </left>
      <right/>
      <top style="thin">
        <color rgb="FFA5A6A5"/>
      </top>
      <bottom style="thin">
        <color rgb="FFA5A6A5"/>
      </bottom>
      <diagonal/>
    </border>
    <border>
      <left/>
      <right/>
      <top style="thin">
        <color rgb="FFA5A6A5"/>
      </top>
      <bottom style="thin">
        <color rgb="FFA5A6A5"/>
      </bottom>
      <diagonal/>
    </border>
    <border>
      <left/>
      <right style="thick">
        <color rgb="FFFFFFFF"/>
      </right>
      <top style="thin">
        <color rgb="FFA5A6A5"/>
      </top>
      <bottom style="thin">
        <color rgb="FFA5A6A5"/>
      </bottom>
      <diagonal/>
    </border>
    <border>
      <left style="thick">
        <color rgb="FFFFFFFF"/>
      </left>
      <right style="thick">
        <color rgb="FFFFFFFF"/>
      </right>
      <top style="thin">
        <color rgb="FFA5A6A5"/>
      </top>
      <bottom style="thin">
        <color rgb="FFA5A6A5"/>
      </bottom>
      <diagonal/>
    </border>
    <border>
      <left style="thick">
        <color rgb="FFFFFFFF"/>
      </left>
      <right/>
      <top style="thin">
        <color rgb="FFA5A6A5"/>
      </top>
      <bottom style="thin">
        <color rgb="FFA5A6A5"/>
      </bottom>
      <diagonal/>
    </border>
    <border>
      <left/>
      <right style="medium">
        <color rgb="FF004A92"/>
      </right>
      <top style="thin">
        <color rgb="FFA5A6A5"/>
      </top>
      <bottom style="thin">
        <color rgb="FFA5A6A5"/>
      </bottom>
      <diagonal/>
    </border>
    <border>
      <left style="medium">
        <color rgb="FF004A92"/>
      </left>
      <right/>
      <top style="thin">
        <color rgb="FFA5A6A5"/>
      </top>
      <bottom/>
      <diagonal/>
    </border>
    <border>
      <left/>
      <right/>
      <top style="thin">
        <color rgb="FFA5A6A5"/>
      </top>
      <bottom/>
      <diagonal/>
    </border>
    <border>
      <left style="thick">
        <color rgb="FFFFFFFF"/>
      </left>
      <right style="thick">
        <color rgb="FFFFFFFF"/>
      </right>
      <top style="thin">
        <color rgb="FFA5A6A5"/>
      </top>
      <bottom/>
      <diagonal/>
    </border>
    <border>
      <left style="medium">
        <color rgb="FF004A92"/>
      </left>
      <right/>
      <top/>
      <bottom style="medium">
        <color rgb="FF39B1E2"/>
      </bottom>
      <diagonal/>
    </border>
    <border>
      <left/>
      <right/>
      <top/>
      <bottom style="medium">
        <color rgb="FF39B1E2"/>
      </bottom>
      <diagonal/>
    </border>
    <border>
      <left/>
      <right style="medium">
        <color rgb="FF004A92"/>
      </right>
      <top/>
      <bottom style="medium">
        <color rgb="FF39B1E2"/>
      </bottom>
      <diagonal/>
    </border>
    <border>
      <left style="medium">
        <color rgb="FF004A92"/>
      </left>
      <right/>
      <top style="medium">
        <color rgb="FF39B1E2"/>
      </top>
      <bottom style="medium">
        <color rgb="FF39B1E2"/>
      </bottom>
      <diagonal/>
    </border>
    <border>
      <left/>
      <right/>
      <top style="medium">
        <color rgb="FF39B1E2"/>
      </top>
      <bottom style="medium">
        <color rgb="FF39B1E2"/>
      </bottom>
      <diagonal/>
    </border>
    <border>
      <left/>
      <right style="medium">
        <color rgb="FF004A92"/>
      </right>
      <top style="medium">
        <color rgb="FF39B1E2"/>
      </top>
      <bottom style="medium">
        <color rgb="FF39B1E2"/>
      </bottom>
      <diagonal/>
    </border>
    <border>
      <left style="medium">
        <color rgb="FF39B1E2"/>
      </left>
      <right/>
      <top style="medium">
        <color rgb="FF39B1E2"/>
      </top>
      <bottom style="medium">
        <color rgb="FF39B1E2"/>
      </bottom>
      <diagonal/>
    </border>
    <border>
      <left/>
      <right style="medium">
        <color rgb="FF39B1E2"/>
      </right>
      <top style="medium">
        <color rgb="FF39B1E2"/>
      </top>
      <bottom style="medium">
        <color rgb="FF39B1E2"/>
      </bottom>
      <diagonal/>
    </border>
    <border>
      <left/>
      <right style="medium">
        <color rgb="FF00B0F0"/>
      </right>
      <top style="medium">
        <color rgb="FF39B1E2"/>
      </top>
      <bottom/>
      <diagonal/>
    </border>
    <border>
      <left/>
      <right style="medium">
        <color rgb="FF00B0F0"/>
      </right>
      <top/>
      <bottom style="medium">
        <color rgb="FF004A9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ashed">
        <color auto="1"/>
      </top>
      <bottom/>
      <diagonal/>
    </border>
    <border>
      <left/>
      <right/>
      <top/>
      <bottom style="dashed">
        <color auto="1"/>
      </bottom>
      <diagonal/>
    </border>
    <border>
      <left style="medium">
        <color rgb="FFFFFFFF"/>
      </left>
      <right style="medium">
        <color rgb="FFFFFFFF"/>
      </right>
      <top style="medium">
        <color rgb="FFFFFFFF"/>
      </top>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right style="medium">
        <color rgb="FFFFFFFF"/>
      </right>
      <top style="thick">
        <color rgb="FFFFFFFF"/>
      </top>
      <bottom/>
      <diagonal/>
    </border>
    <border>
      <left/>
      <right style="thick">
        <color rgb="FFFFFFFF"/>
      </right>
      <top style="thick">
        <color rgb="FFFFFFFF"/>
      </top>
      <bottom/>
      <diagonal/>
    </border>
    <border>
      <left/>
      <right style="thick">
        <color theme="0"/>
      </right>
      <top/>
      <bottom/>
      <diagonal/>
    </border>
    <border>
      <left/>
      <right/>
      <top style="dashed">
        <color theme="4" tint="-0.499984740745262"/>
      </top>
      <bottom style="dashed">
        <color theme="4" tint="-0.499984740745262"/>
      </bottom>
      <diagonal/>
    </border>
    <border>
      <left style="medium">
        <color rgb="FFFFFFFF"/>
      </left>
      <right/>
      <top/>
      <bottom style="thick">
        <color rgb="FFFFFFFF"/>
      </bottom>
      <diagonal/>
    </border>
    <border>
      <left/>
      <right/>
      <top/>
      <bottom style="thick">
        <color rgb="FFFFFFFF"/>
      </bottom>
      <diagonal/>
    </border>
    <border>
      <left style="medium">
        <color rgb="FFFFFFFF"/>
      </left>
      <right style="medium">
        <color rgb="FFFFFFFF"/>
      </right>
      <top/>
      <bottom style="thick">
        <color rgb="FFFFFFFF"/>
      </bottom>
      <diagonal/>
    </border>
    <border>
      <left/>
      <right style="medium">
        <color rgb="FFFFFFFF"/>
      </right>
      <top/>
      <bottom/>
      <diagonal/>
    </border>
    <border>
      <left/>
      <right style="medium">
        <color rgb="FFFFFFFF"/>
      </right>
      <top style="medium">
        <color rgb="FFFFFFFF"/>
      </top>
      <bottom/>
      <diagonal/>
    </border>
    <border>
      <left/>
      <right/>
      <top style="dashed">
        <color theme="4" tint="-0.499984740745262"/>
      </top>
      <bottom style="dashed">
        <color theme="3"/>
      </bottom>
      <diagonal/>
    </border>
    <border>
      <left/>
      <right/>
      <top style="dashed">
        <color theme="4" tint="-0.24994659260841701"/>
      </top>
      <bottom style="dashed">
        <color theme="4" tint="-0.24994659260841701"/>
      </bottom>
      <diagonal/>
    </border>
    <border>
      <left style="thick">
        <color theme="4" tint="-0.499984740745262"/>
      </left>
      <right/>
      <top style="thick">
        <color theme="4" tint="-0.499984740745262"/>
      </top>
      <bottom/>
      <diagonal/>
    </border>
    <border>
      <left style="medium">
        <color rgb="FFFFFFFF"/>
      </left>
      <right/>
      <top style="thick">
        <color theme="4" tint="-0.499984740745262"/>
      </top>
      <bottom/>
      <diagonal/>
    </border>
    <border>
      <left style="medium">
        <color rgb="FFFFFFFF"/>
      </left>
      <right style="thick">
        <color theme="4" tint="-0.499984740745262"/>
      </right>
      <top style="thick">
        <color theme="4" tint="-0.499984740745262"/>
      </top>
      <bottom/>
      <diagonal/>
    </border>
    <border>
      <left style="thick">
        <color theme="4" tint="-0.499984740745262"/>
      </left>
      <right/>
      <top style="dashed">
        <color theme="3"/>
      </top>
      <bottom style="dashed">
        <color theme="3"/>
      </bottom>
      <diagonal/>
    </border>
    <border>
      <left/>
      <right style="thick">
        <color theme="4" tint="-0.499984740745262"/>
      </right>
      <top style="dashed">
        <color theme="4" tint="-0.24994659260841701"/>
      </top>
      <bottom style="dashed">
        <color theme="4" tint="-0.24994659260841701"/>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top style="dashed">
        <color theme="3"/>
      </top>
      <bottom style="thick">
        <color theme="4" tint="-0.499984740745262"/>
      </bottom>
      <diagonal/>
    </border>
    <border>
      <left/>
      <right/>
      <top style="dashed">
        <color theme="4" tint="-0.24994659260841701"/>
      </top>
      <bottom style="thick">
        <color theme="4" tint="-0.499984740745262"/>
      </bottom>
      <diagonal/>
    </border>
    <border>
      <left/>
      <right style="thick">
        <color theme="4" tint="-0.499984740745262"/>
      </right>
      <top style="dashed">
        <color theme="4" tint="-0.24994659260841701"/>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right/>
      <top/>
      <bottom style="dashed">
        <color theme="4" tint="-0.24994659260841701"/>
      </bottom>
      <diagonal/>
    </border>
    <border>
      <left/>
      <right style="thick">
        <color theme="4" tint="-0.499984740745262"/>
      </right>
      <top/>
      <bottom style="dashed">
        <color theme="4" tint="-0.24994659260841701"/>
      </bottom>
      <diagonal/>
    </border>
    <border>
      <left/>
      <right style="thick">
        <color theme="4" tint="-0.499984740745262"/>
      </right>
      <top style="dashed">
        <color theme="4" tint="-0.499984740745262"/>
      </top>
      <bottom style="dashed">
        <color theme="4" tint="-0.499984740745262"/>
      </bottom>
      <diagonal/>
    </border>
    <border>
      <left/>
      <right/>
      <top/>
      <bottom style="medium">
        <color rgb="FFFFFFFF"/>
      </bottom>
      <diagonal/>
    </border>
    <border>
      <left style="medium">
        <color rgb="FFFFFFFF"/>
      </left>
      <right style="medium">
        <color rgb="FFFFFFFF"/>
      </right>
      <top/>
      <bottom style="dashed">
        <color theme="3"/>
      </bottom>
      <diagonal/>
    </border>
    <border>
      <left style="medium">
        <color rgb="FFFFFFFF"/>
      </left>
      <right style="thick">
        <color rgb="FFFFFFFF"/>
      </right>
      <top style="thick">
        <color rgb="FFFFFFFF"/>
      </top>
      <bottom style="thick">
        <color rgb="FFFFFFFF"/>
      </bottom>
      <diagonal/>
    </border>
    <border>
      <left/>
      <right/>
      <top style="dashed">
        <color rgb="FF002060"/>
      </top>
      <bottom style="dashed">
        <color rgb="FF002060"/>
      </bottom>
      <diagonal/>
    </border>
    <border>
      <left/>
      <right/>
      <top/>
      <bottom style="dashed">
        <color rgb="FF002060"/>
      </bottom>
      <diagonal/>
    </border>
    <border>
      <left/>
      <right/>
      <top style="dashed">
        <color theme="3"/>
      </top>
      <bottom style="thick">
        <color theme="4" tint="-0.499984740745262"/>
      </bottom>
      <diagonal/>
    </border>
    <border>
      <left/>
      <right/>
      <top/>
      <bottom style="dashed">
        <color rgb="FF305496"/>
      </bottom>
      <diagonal/>
    </border>
    <border>
      <left/>
      <right/>
      <top style="dotted">
        <color rgb="FF002060"/>
      </top>
      <bottom style="dotted">
        <color rgb="FF002060"/>
      </bottom>
      <diagonal/>
    </border>
    <border>
      <left style="thick">
        <color theme="4" tint="-0.499984740745262"/>
      </left>
      <right/>
      <top style="dashed">
        <color theme="3"/>
      </top>
      <bottom/>
      <diagonal/>
    </border>
    <border>
      <left style="thick">
        <color theme="4" tint="-0.499984740745262"/>
      </left>
      <right/>
      <top/>
      <bottom style="dashed">
        <color theme="3"/>
      </bottom>
      <diagonal/>
    </border>
    <border>
      <left style="medium">
        <color rgb="FFFFFFFF"/>
      </left>
      <right style="medium">
        <color rgb="FFFFFFFF"/>
      </right>
      <top/>
      <bottom/>
      <diagonal/>
    </border>
    <border>
      <left style="thin">
        <color theme="6" tint="0.59999389629810485"/>
      </left>
      <right/>
      <top style="thin">
        <color theme="6" tint="0.59999389629810485"/>
      </top>
      <bottom/>
      <diagonal/>
    </border>
    <border>
      <left style="thin">
        <color theme="6" tint="0.59999389629810485"/>
      </left>
      <right/>
      <top/>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right/>
      <top/>
      <bottom style="thin">
        <color theme="6" tint="0.59999389629810485"/>
      </bottom>
      <diagonal/>
    </border>
    <border>
      <left/>
      <right style="thin">
        <color theme="6" tint="0.59999389629810485"/>
      </right>
      <top/>
      <bottom/>
      <diagonal/>
    </border>
    <border>
      <left/>
      <right style="thin">
        <color indexed="64"/>
      </right>
      <top/>
      <bottom/>
      <diagonal/>
    </border>
    <border>
      <left style="thick">
        <color theme="4" tint="-0.499984740745262"/>
      </left>
      <right/>
      <top style="medium">
        <color rgb="FFFFFFFF"/>
      </top>
      <bottom/>
      <diagonal/>
    </border>
    <border>
      <left style="thick">
        <color theme="4" tint="-0.499984740745262"/>
      </left>
      <right/>
      <top style="dashed">
        <color theme="3"/>
      </top>
      <bottom style="medium">
        <color indexed="64"/>
      </bottom>
      <diagonal/>
    </border>
    <border>
      <left/>
      <right/>
      <top style="dashed">
        <color theme="3"/>
      </top>
      <bottom style="medium">
        <color indexed="64"/>
      </bottom>
      <diagonal/>
    </border>
    <border>
      <left/>
      <right/>
      <top style="dashed">
        <color theme="4" tint="-0.24994659260841701"/>
      </top>
      <bottom style="medium">
        <color indexed="64"/>
      </bottom>
      <diagonal/>
    </border>
    <border>
      <left/>
      <right style="thick">
        <color theme="4" tint="-0.499984740745262"/>
      </right>
      <top style="dashed">
        <color theme="4" tint="-0.24994659260841701"/>
      </top>
      <bottom style="medium">
        <color indexed="64"/>
      </bottom>
      <diagonal/>
    </border>
    <border>
      <left style="thick">
        <color indexed="64"/>
      </left>
      <right/>
      <top/>
      <bottom/>
      <diagonal/>
    </border>
    <border>
      <left/>
      <right/>
      <top/>
      <bottom style="thick">
        <color theme="4" tint="-0.499984740745262"/>
      </bottom>
      <diagonal/>
    </border>
    <border>
      <left/>
      <right style="thick">
        <color theme="4" tint="-0.499984740745262"/>
      </right>
      <top style="dotted">
        <color indexed="64"/>
      </top>
      <bottom/>
      <diagonal/>
    </border>
    <border>
      <left/>
      <right/>
      <top style="dotted">
        <color indexed="64"/>
      </top>
      <bottom style="dotted">
        <color indexed="64"/>
      </bottom>
      <diagonal/>
    </border>
  </borders>
  <cellStyleXfs count="50">
    <xf numFmtId="0" fontId="0" fillId="0" borderId="0"/>
    <xf numFmtId="9" fontId="1" fillId="0" borderId="0" applyFont="0" applyFill="0" applyBorder="0" applyAlignment="0" applyProtection="0"/>
    <xf numFmtId="0" fontId="3" fillId="0" borderId="0"/>
    <xf numFmtId="0" fontId="1" fillId="0" borderId="0"/>
    <xf numFmtId="0" fontId="3" fillId="0" borderId="0"/>
    <xf numFmtId="0" fontId="21" fillId="0" borderId="0" applyNumberFormat="0" applyFill="0" applyBorder="0" applyAlignment="0" applyProtection="0"/>
    <xf numFmtId="0" fontId="33" fillId="0" borderId="0"/>
    <xf numFmtId="4" fontId="34" fillId="16" borderId="50" applyNumberFormat="0" applyProtection="0">
      <alignment vertical="center"/>
    </xf>
    <xf numFmtId="4" fontId="35" fillId="17" borderId="50" applyNumberFormat="0" applyProtection="0">
      <alignment vertical="center"/>
    </xf>
    <xf numFmtId="4" fontId="34" fillId="17" borderId="50" applyNumberFormat="0" applyProtection="0">
      <alignment horizontal="left" vertical="center" indent="1"/>
    </xf>
    <xf numFmtId="0" fontId="34" fillId="17" borderId="50" applyNumberFormat="0" applyProtection="0">
      <alignment horizontal="left" vertical="top" indent="1"/>
    </xf>
    <xf numFmtId="4" fontId="34" fillId="18" borderId="0" applyNumberFormat="0" applyProtection="0">
      <alignment horizontal="left" vertical="center" indent="1"/>
    </xf>
    <xf numFmtId="4" fontId="36" fillId="11" borderId="50" applyNumberFormat="0" applyProtection="0">
      <alignment horizontal="right" vertical="center"/>
    </xf>
    <xf numFmtId="4" fontId="36" fillId="10" borderId="50" applyNumberFormat="0" applyProtection="0">
      <alignment horizontal="right" vertical="center"/>
    </xf>
    <xf numFmtId="4" fontId="36" fillId="13" borderId="50" applyNumberFormat="0" applyProtection="0">
      <alignment horizontal="right" vertical="center"/>
    </xf>
    <xf numFmtId="4" fontId="36" fillId="14" borderId="50" applyNumberFormat="0" applyProtection="0">
      <alignment horizontal="right" vertical="center"/>
    </xf>
    <xf numFmtId="4" fontId="36" fillId="19" borderId="50" applyNumberFormat="0" applyProtection="0">
      <alignment horizontal="right" vertical="center"/>
    </xf>
    <xf numFmtId="4" fontId="36" fillId="20" borderId="50" applyNumberFormat="0" applyProtection="0">
      <alignment horizontal="right" vertical="center"/>
    </xf>
    <xf numFmtId="4" fontId="36" fillId="12" borderId="50" applyNumberFormat="0" applyProtection="0">
      <alignment horizontal="right" vertical="center"/>
    </xf>
    <xf numFmtId="4" fontId="36" fillId="15" borderId="50" applyNumberFormat="0" applyProtection="0">
      <alignment horizontal="right" vertical="center"/>
    </xf>
    <xf numFmtId="4" fontId="36" fillId="21" borderId="50" applyNumberFormat="0" applyProtection="0">
      <alignment horizontal="right" vertical="center"/>
    </xf>
    <xf numFmtId="4" fontId="34" fillId="22" borderId="51" applyNumberFormat="0" applyProtection="0">
      <alignment horizontal="left" vertical="center" indent="1"/>
    </xf>
    <xf numFmtId="4" fontId="36" fillId="23" borderId="0" applyNumberFormat="0" applyProtection="0">
      <alignment horizontal="left" vertical="center" indent="1"/>
    </xf>
    <xf numFmtId="4" fontId="37" fillId="24" borderId="0" applyNumberFormat="0" applyProtection="0">
      <alignment horizontal="left" vertical="center" indent="1"/>
    </xf>
    <xf numFmtId="4" fontId="36" fillId="9" borderId="50" applyNumberFormat="0" applyProtection="0">
      <alignment horizontal="right" vertical="center"/>
    </xf>
    <xf numFmtId="4" fontId="38" fillId="23" borderId="0" applyNumberFormat="0" applyProtection="0">
      <alignment horizontal="left" vertical="center" indent="1"/>
    </xf>
    <xf numFmtId="4" fontId="38" fillId="18" borderId="0" applyNumberFormat="0" applyProtection="0">
      <alignment horizontal="left" vertical="center" indent="1"/>
    </xf>
    <xf numFmtId="0" fontId="3" fillId="24" borderId="50" applyNumberFormat="0" applyProtection="0">
      <alignment horizontal="left" vertical="center" indent="1"/>
    </xf>
    <xf numFmtId="0" fontId="3" fillId="24" borderId="50" applyNumberFormat="0" applyProtection="0">
      <alignment horizontal="left" vertical="top" indent="1"/>
    </xf>
    <xf numFmtId="0" fontId="3" fillId="18" borderId="50" applyNumberFormat="0" applyProtection="0">
      <alignment horizontal="left" vertical="center" indent="1"/>
    </xf>
    <xf numFmtId="0" fontId="3" fillId="18" borderId="50" applyNumberFormat="0" applyProtection="0">
      <alignment horizontal="left" vertical="top" indent="1"/>
    </xf>
    <xf numFmtId="0" fontId="3" fillId="25" borderId="50" applyNumberFormat="0" applyProtection="0">
      <alignment horizontal="left" vertical="center" indent="1"/>
    </xf>
    <xf numFmtId="0" fontId="3" fillId="25" borderId="50" applyNumberFormat="0" applyProtection="0">
      <alignment horizontal="left" vertical="top" indent="1"/>
    </xf>
    <xf numFmtId="0" fontId="3" fillId="26" borderId="50" applyNumberFormat="0" applyProtection="0">
      <alignment horizontal="left" vertical="center" indent="1"/>
    </xf>
    <xf numFmtId="0" fontId="3" fillId="26" borderId="50" applyNumberFormat="0" applyProtection="0">
      <alignment horizontal="left" vertical="top" indent="1"/>
    </xf>
    <xf numFmtId="0" fontId="3" fillId="0" borderId="0"/>
    <xf numFmtId="4" fontId="36" fillId="27" borderId="50" applyNumberFormat="0" applyProtection="0">
      <alignment vertical="center"/>
    </xf>
    <xf numFmtId="4" fontId="39" fillId="27" borderId="50" applyNumberFormat="0" applyProtection="0">
      <alignment vertical="center"/>
    </xf>
    <xf numFmtId="4" fontId="36" fillId="27" borderId="50" applyNumberFormat="0" applyProtection="0">
      <alignment horizontal="left" vertical="center" indent="1"/>
    </xf>
    <xf numFmtId="0" fontId="36" fillId="27" borderId="50" applyNumberFormat="0" applyProtection="0">
      <alignment horizontal="left" vertical="top" indent="1"/>
    </xf>
    <xf numFmtId="4" fontId="36" fillId="23" borderId="50" applyNumberFormat="0" applyProtection="0">
      <alignment horizontal="right" vertical="center"/>
    </xf>
    <xf numFmtId="4" fontId="39" fillId="23" borderId="50" applyNumberFormat="0" applyProtection="0">
      <alignment horizontal="right" vertical="center"/>
    </xf>
    <xf numFmtId="4" fontId="36" fillId="9" borderId="50" applyNumberFormat="0" applyProtection="0">
      <alignment horizontal="left" vertical="center" indent="1"/>
    </xf>
    <xf numFmtId="0" fontId="36" fillId="18" borderId="50" applyNumberFormat="0" applyProtection="0">
      <alignment horizontal="left" vertical="top" indent="1"/>
    </xf>
    <xf numFmtId="4" fontId="40" fillId="28" borderId="0" applyNumberFormat="0" applyProtection="0">
      <alignment horizontal="left" vertical="center" indent="1"/>
    </xf>
    <xf numFmtId="4" fontId="41" fillId="23" borderId="50" applyNumberFormat="0" applyProtection="0">
      <alignment horizontal="right" vertical="center"/>
    </xf>
    <xf numFmtId="43" fontId="1" fillId="0" borderId="0" applyFont="0" applyFill="0" applyBorder="0" applyAlignment="0" applyProtection="0"/>
    <xf numFmtId="0" fontId="54" fillId="0" borderId="0"/>
    <xf numFmtId="0" fontId="60" fillId="35" borderId="0" applyNumberFormat="0" applyBorder="0" applyAlignment="0" applyProtection="0"/>
    <xf numFmtId="43" fontId="1" fillId="0" borderId="0" applyFont="0" applyFill="0" applyBorder="0" applyAlignment="0" applyProtection="0"/>
  </cellStyleXfs>
  <cellXfs count="528">
    <xf numFmtId="0" fontId="0" fillId="0" borderId="0" xfId="0"/>
    <xf numFmtId="0" fontId="5" fillId="2" borderId="2" xfId="2" applyFont="1" applyFill="1" applyBorder="1" applyAlignment="1">
      <alignment horizontal="center" vertical="center" wrapText="1" readingOrder="1"/>
    </xf>
    <xf numFmtId="0" fontId="6" fillId="2" borderId="4" xfId="2" applyFont="1" applyFill="1" applyBorder="1" applyAlignment="1">
      <alignment horizontal="center" vertical="center" wrapText="1" readingOrder="1"/>
    </xf>
    <xf numFmtId="3" fontId="8" fillId="0" borderId="0" xfId="2" applyNumberFormat="1" applyFont="1" applyAlignment="1">
      <alignment horizontal="right" vertical="center" wrapText="1" indent="1" readingOrder="1"/>
    </xf>
    <xf numFmtId="3" fontId="8" fillId="3" borderId="0" xfId="2" applyNumberFormat="1" applyFont="1" applyFill="1" applyAlignment="1">
      <alignment horizontal="right" vertical="center" wrapText="1" indent="1" readingOrder="1"/>
    </xf>
    <xf numFmtId="3" fontId="10" fillId="3" borderId="0" xfId="2" applyNumberFormat="1" applyFont="1" applyFill="1" applyAlignment="1">
      <alignment horizontal="right" vertical="center" wrapText="1" indent="1" readingOrder="1"/>
    </xf>
    <xf numFmtId="165" fontId="11" fillId="0" borderId="5" xfId="0" applyNumberFormat="1" applyFont="1" applyBorder="1" applyAlignment="1">
      <alignment horizontal="right" wrapText="1" indent="1"/>
    </xf>
    <xf numFmtId="165" fontId="11" fillId="3" borderId="5" xfId="0" applyNumberFormat="1" applyFont="1" applyFill="1" applyBorder="1" applyAlignment="1">
      <alignment horizontal="right" wrapText="1" indent="1"/>
    </xf>
    <xf numFmtId="165" fontId="11" fillId="0" borderId="0" xfId="0" applyNumberFormat="1" applyFont="1" applyAlignment="1">
      <alignment horizontal="right" wrapText="1" indent="1"/>
    </xf>
    <xf numFmtId="165" fontId="11" fillId="3" borderId="0" xfId="0" applyNumberFormat="1" applyFont="1" applyFill="1" applyAlignment="1">
      <alignment horizontal="right" wrapText="1" indent="1"/>
    </xf>
    <xf numFmtId="3" fontId="0" fillId="0" borderId="0" xfId="0" applyNumberFormat="1"/>
    <xf numFmtId="0" fontId="7" fillId="0" borderId="6" xfId="2" applyFont="1" applyBorder="1" applyAlignment="1">
      <alignment horizontal="left" vertical="center" wrapText="1" readingOrder="1"/>
    </xf>
    <xf numFmtId="3" fontId="8" fillId="0" borderId="6" xfId="2" applyNumberFormat="1" applyFont="1" applyBorder="1" applyAlignment="1">
      <alignment horizontal="right" vertical="center" wrapText="1" indent="1" readingOrder="1"/>
    </xf>
    <xf numFmtId="3" fontId="8" fillId="3" borderId="6" xfId="2" applyNumberFormat="1" applyFont="1" applyFill="1" applyBorder="1" applyAlignment="1">
      <alignment horizontal="right" vertical="center" wrapText="1" indent="1" readingOrder="1"/>
    </xf>
    <xf numFmtId="0" fontId="12" fillId="0" borderId="0" xfId="2" applyFont="1" applyAlignment="1">
      <alignment horizontal="left" vertical="center" wrapText="1" readingOrder="1"/>
    </xf>
    <xf numFmtId="0" fontId="11" fillId="0" borderId="0" xfId="2" applyFont="1" applyAlignment="1">
      <alignment horizontal="left" vertical="center" wrapText="1" readingOrder="1"/>
    </xf>
    <xf numFmtId="166" fontId="0" fillId="0" borderId="0" xfId="1" applyNumberFormat="1" applyFont="1"/>
    <xf numFmtId="165" fontId="8" fillId="0" borderId="8" xfId="0" applyNumberFormat="1" applyFont="1" applyBorder="1" applyAlignment="1">
      <alignment horizontal="right" wrapText="1" indent="1"/>
    </xf>
    <xf numFmtId="3" fontId="11" fillId="0" borderId="0" xfId="2" applyNumberFormat="1" applyFont="1" applyAlignment="1">
      <alignment horizontal="right" vertical="center" wrapText="1" indent="1" readingOrder="1"/>
    </xf>
    <xf numFmtId="3" fontId="11" fillId="3" borderId="0" xfId="2" applyNumberFormat="1" applyFont="1" applyFill="1" applyAlignment="1">
      <alignment horizontal="right" vertical="center" wrapText="1" indent="1" readingOrder="1"/>
    </xf>
    <xf numFmtId="165" fontId="0" fillId="0" borderId="0" xfId="0" applyNumberFormat="1"/>
    <xf numFmtId="0" fontId="7" fillId="0" borderId="9" xfId="2" applyFont="1" applyBorder="1" applyAlignment="1">
      <alignment horizontal="left" vertical="center" wrapText="1" readingOrder="1"/>
    </xf>
    <xf numFmtId="0" fontId="11" fillId="0" borderId="9" xfId="2" applyFont="1" applyBorder="1" applyAlignment="1">
      <alignment horizontal="left" vertical="center" wrapText="1" readingOrder="1"/>
    </xf>
    <xf numFmtId="3" fontId="11" fillId="0" borderId="9" xfId="2" applyNumberFormat="1" applyFont="1" applyBorder="1" applyAlignment="1">
      <alignment horizontal="left" vertical="center" wrapText="1" readingOrder="1"/>
    </xf>
    <xf numFmtId="9" fontId="11" fillId="0" borderId="0" xfId="1" applyFont="1" applyBorder="1" applyAlignment="1">
      <alignment horizontal="right" vertical="center" wrapText="1" indent="1" readingOrder="1"/>
    </xf>
    <xf numFmtId="9" fontId="11" fillId="3" borderId="0" xfId="1" applyFont="1" applyFill="1" applyBorder="1" applyAlignment="1">
      <alignment horizontal="right" vertical="center" wrapText="1" indent="1" readingOrder="1"/>
    </xf>
    <xf numFmtId="0" fontId="15" fillId="0" borderId="0" xfId="2" applyFont="1" applyAlignment="1">
      <alignment horizontal="left" vertical="center" wrapText="1" readingOrder="1"/>
    </xf>
    <xf numFmtId="167" fontId="11" fillId="0" borderId="0" xfId="0" applyNumberFormat="1" applyFont="1" applyAlignment="1">
      <alignment horizontal="right" wrapText="1" indent="1"/>
    </xf>
    <xf numFmtId="166" fontId="11" fillId="0" borderId="0" xfId="1" applyNumberFormat="1" applyFont="1" applyFill="1" applyBorder="1" applyAlignment="1">
      <alignment horizontal="right" vertical="center" wrapText="1" indent="1" readingOrder="1"/>
    </xf>
    <xf numFmtId="165" fontId="8" fillId="0" borderId="0" xfId="0" applyNumberFormat="1" applyFont="1" applyAlignment="1">
      <alignment horizontal="right" wrapText="1" indent="1"/>
    </xf>
    <xf numFmtId="164" fontId="11" fillId="0" borderId="0" xfId="0" applyNumberFormat="1" applyFont="1" applyAlignment="1">
      <alignment horizontal="right" wrapText="1" indent="1"/>
    </xf>
    <xf numFmtId="0" fontId="2" fillId="0" borderId="0" xfId="0" applyFont="1"/>
    <xf numFmtId="0" fontId="5" fillId="2" borderId="2" xfId="3" applyFont="1" applyFill="1" applyBorder="1" applyAlignment="1">
      <alignment horizontal="center" vertical="center" wrapText="1" readingOrder="1"/>
    </xf>
    <xf numFmtId="0" fontId="7" fillId="0" borderId="0" xfId="3" applyFont="1" applyAlignment="1">
      <alignment horizontal="left" vertical="center" wrapText="1" readingOrder="1"/>
    </xf>
    <xf numFmtId="0" fontId="12" fillId="0" borderId="0" xfId="3" applyFont="1" applyAlignment="1">
      <alignment horizontal="left" vertical="center" wrapText="1" readingOrder="1"/>
    </xf>
    <xf numFmtId="0" fontId="7" fillId="0" borderId="6" xfId="3" applyFont="1" applyBorder="1" applyAlignment="1">
      <alignment horizontal="left" vertical="center" wrapText="1" readingOrder="1"/>
    </xf>
    <xf numFmtId="2" fontId="0" fillId="0" borderId="0" xfId="0" applyNumberFormat="1"/>
    <xf numFmtId="0" fontId="0" fillId="0" borderId="0" xfId="0" applyAlignment="1">
      <alignment horizontal="left"/>
    </xf>
    <xf numFmtId="0" fontId="18" fillId="0" borderId="0" xfId="0" applyFont="1"/>
    <xf numFmtId="0" fontId="22" fillId="0" borderId="0" xfId="5" applyFont="1"/>
    <xf numFmtId="0" fontId="23" fillId="4" borderId="0" xfId="0" applyFont="1" applyFill="1"/>
    <xf numFmtId="0" fontId="24" fillId="6" borderId="26" xfId="0" applyFont="1" applyFill="1" applyBorder="1" applyAlignment="1">
      <alignment horizontal="left" vertical="center" wrapText="1" readingOrder="1"/>
    </xf>
    <xf numFmtId="0" fontId="25" fillId="5" borderId="28" xfId="0" applyFont="1" applyFill="1" applyBorder="1" applyAlignment="1">
      <alignment horizontal="center" vertical="center" wrapText="1" readingOrder="1"/>
    </xf>
    <xf numFmtId="0" fontId="25" fillId="5" borderId="29" xfId="0" applyFont="1" applyFill="1" applyBorder="1" applyAlignment="1">
      <alignment horizontal="center" vertical="center" wrapText="1" readingOrder="1"/>
    </xf>
    <xf numFmtId="0" fontId="25" fillId="0" borderId="30" xfId="0" applyFont="1" applyBorder="1" applyAlignment="1">
      <alignment horizontal="left" vertical="center" wrapText="1" readingOrder="1"/>
    </xf>
    <xf numFmtId="0" fontId="24" fillId="6" borderId="31" xfId="0" applyFont="1" applyFill="1" applyBorder="1" applyAlignment="1">
      <alignment horizontal="left" vertical="center" wrapText="1" readingOrder="1"/>
    </xf>
    <xf numFmtId="0" fontId="25" fillId="0" borderId="32" xfId="0" applyFont="1" applyBorder="1" applyAlignment="1">
      <alignment horizontal="left" vertical="center" wrapText="1" readingOrder="1"/>
    </xf>
    <xf numFmtId="0" fontId="25" fillId="5" borderId="33" xfId="0" applyFont="1" applyFill="1" applyBorder="1" applyAlignment="1">
      <alignment horizontal="center" vertical="center" wrapText="1" readingOrder="1"/>
    </xf>
    <xf numFmtId="0" fontId="25" fillId="5" borderId="34" xfId="0" applyFont="1" applyFill="1" applyBorder="1" applyAlignment="1">
      <alignment horizontal="center" vertical="center" wrapText="1" readingOrder="1"/>
    </xf>
    <xf numFmtId="0" fontId="26" fillId="5" borderId="34" xfId="0" applyFont="1" applyFill="1" applyBorder="1" applyAlignment="1">
      <alignment horizontal="center" vertical="center" wrapText="1"/>
    </xf>
    <xf numFmtId="0" fontId="25" fillId="5" borderId="35" xfId="0" applyFont="1" applyFill="1" applyBorder="1" applyAlignment="1">
      <alignment horizontal="center" vertical="center" wrapText="1" readingOrder="1"/>
    </xf>
    <xf numFmtId="0" fontId="25" fillId="0" borderId="36" xfId="0" applyFont="1" applyBorder="1" applyAlignment="1">
      <alignment horizontal="left" vertical="center" wrapText="1" readingOrder="1"/>
    </xf>
    <xf numFmtId="0" fontId="24" fillId="6" borderId="37" xfId="0" applyFont="1" applyFill="1" applyBorder="1" applyAlignment="1">
      <alignment horizontal="left" vertical="center" wrapText="1" readingOrder="1"/>
    </xf>
    <xf numFmtId="0" fontId="27" fillId="7" borderId="40" xfId="0" applyFont="1" applyFill="1" applyBorder="1" applyAlignment="1">
      <alignment horizontal="left" vertical="center" wrapText="1" readingOrder="1"/>
    </xf>
    <xf numFmtId="0" fontId="27" fillId="7" borderId="41" xfId="0" applyFont="1" applyFill="1" applyBorder="1" applyAlignment="1">
      <alignment horizontal="left" vertical="center" wrapText="1" readingOrder="1"/>
    </xf>
    <xf numFmtId="0" fontId="28" fillId="7" borderId="42" xfId="0" applyFont="1" applyFill="1" applyBorder="1" applyAlignment="1">
      <alignment horizontal="left" vertical="center" wrapText="1" readingOrder="1"/>
    </xf>
    <xf numFmtId="0" fontId="26" fillId="0" borderId="43" xfId="0" applyFont="1" applyBorder="1" applyAlignment="1">
      <alignment vertical="center" wrapText="1"/>
    </xf>
    <xf numFmtId="0" fontId="26" fillId="0" borderId="44" xfId="0" applyFont="1" applyBorder="1" applyAlignment="1">
      <alignment vertical="center" wrapText="1"/>
    </xf>
    <xf numFmtId="0" fontId="26" fillId="0" borderId="45" xfId="0" applyFont="1" applyBorder="1" applyAlignment="1">
      <alignment vertical="center" wrapText="1"/>
    </xf>
    <xf numFmtId="0" fontId="27" fillId="8" borderId="46" xfId="0" applyFont="1" applyFill="1" applyBorder="1" applyAlignment="1">
      <alignment horizontal="left" vertical="center" wrapText="1" readingOrder="1"/>
    </xf>
    <xf numFmtId="0" fontId="27" fillId="8" borderId="44" xfId="0" applyFont="1" applyFill="1" applyBorder="1" applyAlignment="1">
      <alignment horizontal="left" vertical="center" wrapText="1" readingOrder="1"/>
    </xf>
    <xf numFmtId="0" fontId="28" fillId="8" borderId="47" xfId="0" applyFont="1" applyFill="1" applyBorder="1" applyAlignment="1">
      <alignment horizontal="left" vertical="center" wrapText="1" readingOrder="1"/>
    </xf>
    <xf numFmtId="0" fontId="29" fillId="5" borderId="39" xfId="0" applyFont="1" applyFill="1" applyBorder="1" applyAlignment="1">
      <alignment horizontal="center" vertical="center" wrapText="1"/>
    </xf>
    <xf numFmtId="0" fontId="20" fillId="4" borderId="0" xfId="0" applyFont="1" applyFill="1" applyAlignment="1">
      <alignment horizontal="center" vertical="center"/>
    </xf>
    <xf numFmtId="49" fontId="5" fillId="2" borderId="2" xfId="2" applyNumberFormat="1" applyFont="1" applyFill="1" applyBorder="1" applyAlignment="1">
      <alignment horizontal="center" vertical="center" wrapText="1" readingOrder="1"/>
    </xf>
    <xf numFmtId="0" fontId="42" fillId="0" borderId="0" xfId="0" applyFont="1" applyAlignment="1">
      <alignment horizontal="left" vertical="center" wrapText="1" readingOrder="1"/>
    </xf>
    <xf numFmtId="168" fontId="0" fillId="0" borderId="0" xfId="0" applyNumberFormat="1"/>
    <xf numFmtId="165" fontId="0" fillId="0" borderId="0" xfId="1" applyNumberFormat="1" applyFont="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0" xfId="0" applyFill="1"/>
    <xf numFmtId="0" fontId="0" fillId="4" borderId="14" xfId="0" applyFill="1" applyBorder="1"/>
    <xf numFmtId="0" fontId="0" fillId="4" borderId="15" xfId="0" applyFill="1" applyBorder="1"/>
    <xf numFmtId="0" fontId="0" fillId="4" borderId="16" xfId="0" applyFill="1" applyBorder="1"/>
    <xf numFmtId="0" fontId="0" fillId="4" borderId="17" xfId="0" applyFill="1" applyBorder="1"/>
    <xf numFmtId="0" fontId="44" fillId="4" borderId="0" xfId="0" applyFont="1" applyFill="1"/>
    <xf numFmtId="0" fontId="44" fillId="4" borderId="14" xfId="0" applyFont="1" applyFill="1" applyBorder="1"/>
    <xf numFmtId="0" fontId="23" fillId="4" borderId="14" xfId="0" applyFont="1" applyFill="1" applyBorder="1"/>
    <xf numFmtId="0" fontId="12" fillId="0" borderId="0" xfId="2" applyFont="1" applyAlignment="1">
      <alignment horizontal="left" vertical="center" wrapText="1" indent="3" readingOrder="1"/>
    </xf>
    <xf numFmtId="0" fontId="7" fillId="0" borderId="0" xfId="2" applyFont="1" applyAlignment="1">
      <alignment horizontal="left" vertical="center" wrapText="1" readingOrder="1"/>
    </xf>
    <xf numFmtId="0" fontId="14" fillId="0" borderId="0" xfId="0" applyFont="1"/>
    <xf numFmtId="9" fontId="11" fillId="0" borderId="0" xfId="1" applyFont="1" applyFill="1" applyBorder="1" applyAlignment="1">
      <alignment horizontal="right" vertical="center" wrapText="1" indent="1" readingOrder="1"/>
    </xf>
    <xf numFmtId="0" fontId="12" fillId="0" borderId="52" xfId="2" applyFont="1" applyBorder="1" applyAlignment="1">
      <alignment horizontal="center" vertical="center" wrapText="1" readingOrder="1"/>
    </xf>
    <xf numFmtId="3" fontId="8" fillId="3" borderId="52" xfId="2" applyNumberFormat="1" applyFont="1" applyFill="1" applyBorder="1" applyAlignment="1">
      <alignment horizontal="center" vertical="center" wrapText="1" readingOrder="1"/>
    </xf>
    <xf numFmtId="0" fontId="12" fillId="3" borderId="52" xfId="2" applyFont="1" applyFill="1" applyBorder="1" applyAlignment="1">
      <alignment horizontal="center" vertical="center" wrapText="1" readingOrder="1"/>
    </xf>
    <xf numFmtId="0" fontId="4" fillId="0" borderId="0" xfId="2" applyFont="1" applyAlignment="1">
      <alignment horizontal="center" vertical="center" wrapText="1" readingOrder="1"/>
    </xf>
    <xf numFmtId="0" fontId="6" fillId="0" borderId="0" xfId="2" applyFont="1" applyAlignment="1">
      <alignment horizontal="center" vertical="center" wrapText="1" readingOrder="1"/>
    </xf>
    <xf numFmtId="169" fontId="11" fillId="0" borderId="0" xfId="0" applyNumberFormat="1" applyFont="1" applyAlignment="1">
      <alignment horizontal="right" wrapText="1" indent="1"/>
    </xf>
    <xf numFmtId="0" fontId="45" fillId="4" borderId="0" xfId="5" quotePrefix="1" applyFont="1" applyFill="1" applyBorder="1" applyAlignment="1"/>
    <xf numFmtId="0" fontId="6" fillId="2" borderId="4" xfId="2" applyFont="1" applyFill="1" applyBorder="1" applyAlignment="1">
      <alignment horizontal="center" vertical="center" readingOrder="1"/>
    </xf>
    <xf numFmtId="0" fontId="7" fillId="0" borderId="0" xfId="3" applyFont="1" applyAlignment="1">
      <alignment horizontal="left" vertical="center" readingOrder="1"/>
    </xf>
    <xf numFmtId="3" fontId="8" fillId="0" borderId="0" xfId="2" applyNumberFormat="1" applyFont="1" applyAlignment="1">
      <alignment horizontal="right" vertical="center" readingOrder="1"/>
    </xf>
    <xf numFmtId="3" fontId="8" fillId="3" borderId="0" xfId="2" applyNumberFormat="1" applyFont="1" applyFill="1" applyAlignment="1">
      <alignment horizontal="right" vertical="center" readingOrder="1"/>
    </xf>
    <xf numFmtId="0" fontId="12" fillId="0" borderId="0" xfId="3" applyFont="1" applyAlignment="1">
      <alignment horizontal="left" vertical="center" readingOrder="1"/>
    </xf>
    <xf numFmtId="165" fontId="11" fillId="0" borderId="0" xfId="0" applyNumberFormat="1" applyFont="1" applyAlignment="1">
      <alignment horizontal="right"/>
    </xf>
    <xf numFmtId="165" fontId="11" fillId="0" borderId="5" xfId="0" applyNumberFormat="1" applyFont="1" applyBorder="1" applyAlignment="1">
      <alignment horizontal="right"/>
    </xf>
    <xf numFmtId="0" fontId="7" fillId="0" borderId="6" xfId="3" applyFont="1" applyBorder="1" applyAlignment="1">
      <alignment horizontal="left" vertical="center" readingOrder="1"/>
    </xf>
    <xf numFmtId="3" fontId="8" fillId="0" borderId="6" xfId="2" applyNumberFormat="1" applyFont="1" applyBorder="1" applyAlignment="1">
      <alignment horizontal="right" vertical="center" readingOrder="1"/>
    </xf>
    <xf numFmtId="3" fontId="8" fillId="3" borderId="6" xfId="2" applyNumberFormat="1" applyFont="1" applyFill="1" applyBorder="1" applyAlignment="1">
      <alignment horizontal="right" vertical="center" readingOrder="1"/>
    </xf>
    <xf numFmtId="0" fontId="5" fillId="2" borderId="2" xfId="2" applyFont="1" applyFill="1" applyBorder="1" applyAlignment="1">
      <alignment horizontal="center" vertical="center" readingOrder="1"/>
    </xf>
    <xf numFmtId="0" fontId="12" fillId="0" borderId="0" xfId="2" applyFont="1" applyAlignment="1">
      <alignment horizontal="left" vertical="center" readingOrder="1"/>
    </xf>
    <xf numFmtId="0" fontId="7" fillId="0" borderId="0" xfId="2" applyFont="1" applyAlignment="1">
      <alignment horizontal="left" vertical="center" readingOrder="1"/>
    </xf>
    <xf numFmtId="166" fontId="1" fillId="0" borderId="0" xfId="1" applyNumberFormat="1" applyFont="1" applyFill="1" applyBorder="1"/>
    <xf numFmtId="0" fontId="12" fillId="0" borderId="0" xfId="2" applyFont="1" applyAlignment="1">
      <alignment horizontal="left" vertical="center" indent="3" readingOrder="1"/>
    </xf>
    <xf numFmtId="0" fontId="12" fillId="0" borderId="0" xfId="3" applyFont="1" applyAlignment="1">
      <alignment horizontal="left" vertical="center" indent="3" readingOrder="1"/>
    </xf>
    <xf numFmtId="0" fontId="7" fillId="0" borderId="0" xfId="2" applyFont="1" applyAlignment="1">
      <alignment horizontal="left" vertical="center" indent="3" readingOrder="1"/>
    </xf>
    <xf numFmtId="0" fontId="7" fillId="0" borderId="0" xfId="3" applyFont="1" applyAlignment="1">
      <alignment horizontal="left" vertical="center" indent="3" readingOrder="1"/>
    </xf>
    <xf numFmtId="0" fontId="11" fillId="0" borderId="0" xfId="2" applyFont="1" applyAlignment="1">
      <alignment horizontal="left" vertical="center" indent="3" readingOrder="1"/>
    </xf>
    <xf numFmtId="0" fontId="7" fillId="0" borderId="5" xfId="2" applyFont="1" applyBorder="1" applyAlignment="1">
      <alignment horizontal="left" vertical="center" readingOrder="1"/>
    </xf>
    <xf numFmtId="0" fontId="7" fillId="0" borderId="6" xfId="2" applyFont="1" applyBorder="1" applyAlignment="1">
      <alignment horizontal="left" vertical="center" readingOrder="1"/>
    </xf>
    <xf numFmtId="0" fontId="11" fillId="0" borderId="0" xfId="2" applyFont="1" applyAlignment="1">
      <alignment horizontal="left" vertical="center" readingOrder="1"/>
    </xf>
    <xf numFmtId="0" fontId="13" fillId="0" borderId="0" xfId="2" applyFont="1" applyAlignment="1">
      <alignment horizontal="left" vertical="center" readingOrder="1"/>
    </xf>
    <xf numFmtId="0" fontId="7" fillId="0" borderId="52" xfId="2" applyFont="1" applyBorder="1" applyAlignment="1">
      <alignment horizontal="left" vertical="center" readingOrder="1"/>
    </xf>
    <xf numFmtId="0" fontId="12" fillId="0" borderId="0" xfId="2" applyFont="1" applyAlignment="1">
      <alignment horizontal="left" vertical="center" indent="6" readingOrder="1"/>
    </xf>
    <xf numFmtId="165" fontId="8" fillId="0" borderId="60" xfId="0" applyNumberFormat="1" applyFont="1" applyBorder="1" applyAlignment="1">
      <alignment horizontal="right" wrapText="1" indent="1"/>
    </xf>
    <xf numFmtId="165" fontId="8" fillId="3" borderId="60" xfId="0" applyNumberFormat="1" applyFont="1" applyFill="1" applyBorder="1" applyAlignment="1">
      <alignment horizontal="right" wrapText="1" indent="1"/>
    </xf>
    <xf numFmtId="0" fontId="12" fillId="0" borderId="0" xfId="3" applyFont="1" applyAlignment="1">
      <alignment horizontal="left" vertical="center" wrapText="1" indent="3" readingOrder="1"/>
    </xf>
    <xf numFmtId="165" fontId="11" fillId="0" borderId="0" xfId="0" quotePrefix="1" applyNumberFormat="1" applyFont="1" applyAlignment="1">
      <alignment horizontal="right" wrapText="1" indent="1"/>
    </xf>
    <xf numFmtId="0" fontId="21" fillId="4" borderId="0" xfId="5" quotePrefix="1" applyFill="1" applyBorder="1" applyAlignment="1"/>
    <xf numFmtId="0" fontId="45" fillId="4" borderId="14" xfId="5" quotePrefix="1" applyFont="1" applyFill="1" applyBorder="1" applyAlignment="1"/>
    <xf numFmtId="0" fontId="21" fillId="4" borderId="14" xfId="5" quotePrefix="1" applyFill="1" applyBorder="1" applyAlignment="1"/>
    <xf numFmtId="166" fontId="11" fillId="0" borderId="0" xfId="2" applyNumberFormat="1" applyFont="1" applyAlignment="1">
      <alignment horizontal="right" vertical="center" wrapText="1" indent="1" readingOrder="1"/>
    </xf>
    <xf numFmtId="165" fontId="8" fillId="0" borderId="67" xfId="0" applyNumberFormat="1" applyFont="1" applyBorder="1" applyAlignment="1">
      <alignment horizontal="right" wrapText="1" indent="1"/>
    </xf>
    <xf numFmtId="0" fontId="5" fillId="2" borderId="1" xfId="2" applyFont="1" applyFill="1" applyBorder="1" applyAlignment="1">
      <alignment horizontal="center" vertical="center" textRotation="90" wrapText="1" readingOrder="1"/>
    </xf>
    <xf numFmtId="0" fontId="48" fillId="0" borderId="0" xfId="0" applyFont="1" applyAlignment="1">
      <alignment wrapText="1"/>
    </xf>
    <xf numFmtId="0" fontId="5" fillId="2" borderId="68" xfId="2" applyFont="1" applyFill="1" applyBorder="1" applyAlignment="1">
      <alignment horizontal="center" vertical="center" wrapText="1" readingOrder="1"/>
    </xf>
    <xf numFmtId="0" fontId="5" fillId="2" borderId="69" xfId="2" applyFont="1" applyFill="1" applyBorder="1" applyAlignment="1">
      <alignment horizontal="center" vertical="center" textRotation="90" wrapText="1" readingOrder="1"/>
    </xf>
    <xf numFmtId="0" fontId="5" fillId="2" borderId="70" xfId="2" applyFont="1" applyFill="1" applyBorder="1" applyAlignment="1">
      <alignment horizontal="center" vertical="center" textRotation="90" wrapText="1" readingOrder="1"/>
    </xf>
    <xf numFmtId="0" fontId="7" fillId="0" borderId="71" xfId="2" applyFont="1" applyBorder="1" applyAlignment="1">
      <alignment horizontal="left" vertical="center" readingOrder="1"/>
    </xf>
    <xf numFmtId="165" fontId="8" fillId="0" borderId="72" xfId="0" applyNumberFormat="1" applyFont="1" applyBorder="1" applyAlignment="1">
      <alignment horizontal="right" wrapText="1" indent="1"/>
    </xf>
    <xf numFmtId="0" fontId="12" fillId="0" borderId="73" xfId="2" applyFont="1" applyBorder="1" applyAlignment="1">
      <alignment horizontal="left" vertical="center" readingOrder="1"/>
    </xf>
    <xf numFmtId="165" fontId="8" fillId="0" borderId="74" xfId="0" applyNumberFormat="1" applyFont="1" applyBorder="1" applyAlignment="1">
      <alignment horizontal="right" wrapText="1" indent="1"/>
    </xf>
    <xf numFmtId="0" fontId="0" fillId="0" borderId="73" xfId="0" applyBorder="1"/>
    <xf numFmtId="0" fontId="7" fillId="0" borderId="75" xfId="2" applyFont="1" applyBorder="1" applyAlignment="1">
      <alignment horizontal="left" vertical="center" readingOrder="1"/>
    </xf>
    <xf numFmtId="165" fontId="8" fillId="0" borderId="76" xfId="0" applyNumberFormat="1" applyFont="1" applyBorder="1" applyAlignment="1">
      <alignment horizontal="right" wrapText="1" indent="1"/>
    </xf>
    <xf numFmtId="165" fontId="8" fillId="0" borderId="77" xfId="0" applyNumberFormat="1" applyFont="1" applyBorder="1" applyAlignment="1">
      <alignment horizontal="right" wrapText="1" indent="1"/>
    </xf>
    <xf numFmtId="165" fontId="8" fillId="0" borderId="81" xfId="0" applyNumberFormat="1" applyFont="1" applyBorder="1" applyAlignment="1">
      <alignment horizontal="right" wrapText="1" indent="1"/>
    </xf>
    <xf numFmtId="165" fontId="8" fillId="0" borderId="82" xfId="0" applyNumberFormat="1" applyFont="1" applyBorder="1" applyAlignment="1">
      <alignment horizontal="right" wrapText="1" indent="1"/>
    </xf>
    <xf numFmtId="165" fontId="11" fillId="0" borderId="60" xfId="0" applyNumberFormat="1" applyFont="1" applyBorder="1" applyAlignment="1">
      <alignment horizontal="right" wrapText="1" indent="1"/>
    </xf>
    <xf numFmtId="165" fontId="8" fillId="0" borderId="83" xfId="0" applyNumberFormat="1" applyFont="1" applyBorder="1" applyAlignment="1">
      <alignment horizontal="right" wrapText="1" indent="1"/>
    </xf>
    <xf numFmtId="165" fontId="8" fillId="0" borderId="67" xfId="0" quotePrefix="1" applyNumberFormat="1" applyFont="1" applyBorder="1" applyAlignment="1">
      <alignment horizontal="right" wrapText="1" indent="1"/>
    </xf>
    <xf numFmtId="165" fontId="8" fillId="0" borderId="60" xfId="0" quotePrefix="1" applyNumberFormat="1" applyFont="1" applyBorder="1" applyAlignment="1">
      <alignment horizontal="right" wrapText="1" indent="1"/>
    </xf>
    <xf numFmtId="165" fontId="8" fillId="0" borderId="74" xfId="0" quotePrefix="1" applyNumberFormat="1" applyFont="1" applyBorder="1" applyAlignment="1">
      <alignment horizontal="right" wrapText="1" indent="1"/>
    </xf>
    <xf numFmtId="165" fontId="8" fillId="0" borderId="81" xfId="0" quotePrefix="1" applyNumberFormat="1" applyFont="1" applyBorder="1" applyAlignment="1">
      <alignment horizontal="right" wrapText="1" indent="1"/>
    </xf>
    <xf numFmtId="165" fontId="8" fillId="0" borderId="0" xfId="0" quotePrefix="1" applyNumberFormat="1" applyFont="1" applyAlignment="1">
      <alignment horizontal="right" wrapText="1" indent="1"/>
    </xf>
    <xf numFmtId="3" fontId="11" fillId="0" borderId="0" xfId="0" applyNumberFormat="1" applyFont="1" applyAlignment="1">
      <alignment horizontal="right" wrapText="1" indent="1"/>
    </xf>
    <xf numFmtId="9" fontId="11" fillId="0" borderId="0" xfId="0" applyNumberFormat="1" applyFont="1" applyAlignment="1">
      <alignment horizontal="right" wrapText="1" indent="1"/>
    </xf>
    <xf numFmtId="165" fontId="8" fillId="3" borderId="0" xfId="0" applyNumberFormat="1" applyFont="1" applyFill="1" applyAlignment="1">
      <alignment horizontal="right" wrapText="1" indent="1"/>
    </xf>
    <xf numFmtId="170" fontId="8" fillId="0" borderId="6" xfId="46" applyNumberFormat="1" applyFont="1" applyBorder="1" applyAlignment="1">
      <alignment horizontal="right" vertical="center" wrapText="1" indent="1" readingOrder="1"/>
    </xf>
    <xf numFmtId="4" fontId="11" fillId="0" borderId="0" xfId="2" applyNumberFormat="1" applyFont="1" applyAlignment="1">
      <alignment horizontal="right" vertical="center" wrapText="1" indent="1" readingOrder="1"/>
    </xf>
    <xf numFmtId="167" fontId="8" fillId="0" borderId="0" xfId="0" applyNumberFormat="1" applyFont="1" applyAlignment="1">
      <alignment horizontal="right" wrapText="1" indent="1"/>
    </xf>
    <xf numFmtId="167" fontId="8" fillId="0" borderId="8" xfId="0" applyNumberFormat="1" applyFont="1" applyBorder="1" applyAlignment="1">
      <alignment horizontal="right" wrapText="1" indent="1"/>
    </xf>
    <xf numFmtId="167" fontId="8" fillId="3" borderId="0" xfId="0" applyNumberFormat="1" applyFont="1" applyFill="1" applyAlignment="1">
      <alignment horizontal="right" wrapText="1" indent="1"/>
    </xf>
    <xf numFmtId="167" fontId="11" fillId="3" borderId="0" xfId="0" applyNumberFormat="1" applyFont="1" applyFill="1" applyAlignment="1">
      <alignment horizontal="right" wrapText="1" indent="1"/>
    </xf>
    <xf numFmtId="4" fontId="8" fillId="3" borderId="0" xfId="2" applyNumberFormat="1" applyFont="1" applyFill="1" applyAlignment="1">
      <alignment horizontal="right" vertical="center" wrapText="1" indent="1" readingOrder="1"/>
    </xf>
    <xf numFmtId="167" fontId="8" fillId="3" borderId="8" xfId="0" applyNumberFormat="1" applyFont="1" applyFill="1" applyBorder="1" applyAlignment="1">
      <alignment horizontal="right" wrapText="1" indent="1"/>
    </xf>
    <xf numFmtId="165" fontId="47" fillId="0" borderId="0" xfId="0" quotePrefix="1" applyNumberFormat="1" applyFont="1" applyAlignment="1">
      <alignment horizontal="right" wrapText="1" indent="1"/>
    </xf>
    <xf numFmtId="165" fontId="11" fillId="3" borderId="0" xfId="0" quotePrefix="1" applyNumberFormat="1" applyFont="1" applyFill="1" applyAlignment="1">
      <alignment horizontal="right" wrapText="1" indent="1"/>
    </xf>
    <xf numFmtId="0" fontId="46" fillId="0" borderId="0" xfId="0" applyFont="1"/>
    <xf numFmtId="0" fontId="7" fillId="0" borderId="9" xfId="2" applyFont="1" applyBorder="1" applyAlignment="1">
      <alignment horizontal="left" vertical="center" readingOrder="1"/>
    </xf>
    <xf numFmtId="165" fontId="8" fillId="3" borderId="5" xfId="0" applyNumberFormat="1" applyFont="1" applyFill="1" applyBorder="1" applyAlignment="1">
      <alignment horizontal="right" wrapText="1" indent="1"/>
    </xf>
    <xf numFmtId="3" fontId="8" fillId="0" borderId="53" xfId="2" applyNumberFormat="1" applyFont="1" applyBorder="1" applyAlignment="1">
      <alignment horizontal="right" vertical="center" wrapText="1" indent="1" readingOrder="1"/>
    </xf>
    <xf numFmtId="0" fontId="30" fillId="0" borderId="0" xfId="0" applyFont="1" applyAlignment="1">
      <alignment horizontal="left" vertical="top" readingOrder="1"/>
    </xf>
    <xf numFmtId="170" fontId="11" fillId="0" borderId="0" xfId="46" applyNumberFormat="1" applyFont="1" applyBorder="1" applyAlignment="1">
      <alignment horizontal="right" vertical="center" wrapText="1" indent="1" readingOrder="1"/>
    </xf>
    <xf numFmtId="171" fontId="11" fillId="0" borderId="0" xfId="46" applyNumberFormat="1" applyFont="1" applyBorder="1" applyAlignment="1">
      <alignment horizontal="right" vertical="center" wrapText="1" indent="1" readingOrder="1"/>
    </xf>
    <xf numFmtId="170" fontId="11" fillId="0" borderId="7" xfId="46" applyNumberFormat="1" applyFont="1" applyBorder="1" applyAlignment="1">
      <alignment horizontal="right" vertical="center" wrapText="1" indent="1" readingOrder="1"/>
    </xf>
    <xf numFmtId="165" fontId="6" fillId="0" borderId="0" xfId="2" applyNumberFormat="1" applyFont="1" applyAlignment="1">
      <alignment horizontal="center" vertical="center" wrapText="1" readingOrder="1"/>
    </xf>
    <xf numFmtId="166" fontId="11" fillId="0" borderId="0" xfId="0" applyNumberFormat="1" applyFont="1" applyAlignment="1">
      <alignment horizontal="right" wrapText="1" indent="1"/>
    </xf>
    <xf numFmtId="168" fontId="11" fillId="0" borderId="0" xfId="0" applyNumberFormat="1" applyFont="1" applyAlignment="1">
      <alignment horizontal="right" wrapText="1" indent="1"/>
    </xf>
    <xf numFmtId="3" fontId="8" fillId="30" borderId="0" xfId="2" applyNumberFormat="1" applyFont="1" applyFill="1" applyAlignment="1">
      <alignment horizontal="right" vertical="center" wrapText="1" indent="1" readingOrder="1"/>
    </xf>
    <xf numFmtId="165" fontId="11" fillId="30" borderId="5" xfId="0" applyNumberFormat="1" applyFont="1" applyFill="1" applyBorder="1" applyAlignment="1">
      <alignment horizontal="right" wrapText="1" indent="1"/>
    </xf>
    <xf numFmtId="3" fontId="8" fillId="30" borderId="6" xfId="2" applyNumberFormat="1" applyFont="1" applyFill="1" applyBorder="1" applyAlignment="1">
      <alignment horizontal="right" vertical="center" wrapText="1" indent="1" readingOrder="1"/>
    </xf>
    <xf numFmtId="165" fontId="11" fillId="30" borderId="0" xfId="0" applyNumberFormat="1" applyFont="1" applyFill="1" applyAlignment="1">
      <alignment horizontal="right" wrapText="1" indent="1"/>
    </xf>
    <xf numFmtId="165" fontId="8" fillId="30" borderId="0" xfId="0" applyNumberFormat="1" applyFont="1" applyFill="1" applyAlignment="1">
      <alignment horizontal="right" wrapText="1" indent="1"/>
    </xf>
    <xf numFmtId="3" fontId="11" fillId="30" borderId="0" xfId="2" applyNumberFormat="1" applyFont="1" applyFill="1" applyAlignment="1">
      <alignment horizontal="right" vertical="center" wrapText="1" indent="1" readingOrder="1"/>
    </xf>
    <xf numFmtId="9" fontId="11" fillId="30" borderId="0" xfId="1" applyFont="1" applyFill="1" applyBorder="1" applyAlignment="1">
      <alignment horizontal="right" vertical="center" wrapText="1" indent="1" readingOrder="1"/>
    </xf>
    <xf numFmtId="0" fontId="0" fillId="30" borderId="0" xfId="0" applyFill="1"/>
    <xf numFmtId="166" fontId="11" fillId="0" borderId="0" xfId="1" applyNumberFormat="1" applyFont="1" applyBorder="1" applyAlignment="1">
      <alignment horizontal="right" wrapText="1" indent="1"/>
    </xf>
    <xf numFmtId="0" fontId="12" fillId="30" borderId="52" xfId="2" applyFont="1" applyFill="1" applyBorder="1" applyAlignment="1">
      <alignment horizontal="center" vertical="center" wrapText="1" readingOrder="1"/>
    </xf>
    <xf numFmtId="4" fontId="11" fillId="30" borderId="0" xfId="2" applyNumberFormat="1" applyFont="1" applyFill="1" applyAlignment="1">
      <alignment horizontal="right" vertical="center" wrapText="1" indent="1" readingOrder="1"/>
    </xf>
    <xf numFmtId="167" fontId="8" fillId="30" borderId="0" xfId="0" applyNumberFormat="1" applyFont="1" applyFill="1" applyAlignment="1">
      <alignment horizontal="right" wrapText="1" indent="1"/>
    </xf>
    <xf numFmtId="167" fontId="11" fillId="30" borderId="0" xfId="0" applyNumberFormat="1" applyFont="1" applyFill="1" applyAlignment="1">
      <alignment horizontal="right" wrapText="1" indent="1"/>
    </xf>
    <xf numFmtId="167" fontId="8" fillId="30" borderId="8" xfId="0" applyNumberFormat="1" applyFont="1" applyFill="1" applyBorder="1" applyAlignment="1">
      <alignment horizontal="right" wrapText="1" indent="1"/>
    </xf>
    <xf numFmtId="3" fontId="8" fillId="30" borderId="0" xfId="2" applyNumberFormat="1" applyFont="1" applyFill="1" applyAlignment="1">
      <alignment horizontal="right" vertical="center" readingOrder="1"/>
    </xf>
    <xf numFmtId="165" fontId="47" fillId="3" borderId="0" xfId="0" quotePrefix="1" applyNumberFormat="1" applyFont="1" applyFill="1" applyAlignment="1">
      <alignment horizontal="right" wrapText="1" indent="1"/>
    </xf>
    <xf numFmtId="165" fontId="47" fillId="30" borderId="0" xfId="0" quotePrefix="1" applyNumberFormat="1" applyFont="1" applyFill="1" applyAlignment="1">
      <alignment horizontal="right" wrapText="1" indent="1"/>
    </xf>
    <xf numFmtId="165" fontId="11" fillId="30" borderId="0" xfId="0" quotePrefix="1" applyNumberFormat="1" applyFont="1" applyFill="1" applyAlignment="1">
      <alignment horizontal="right" wrapText="1" indent="1"/>
    </xf>
    <xf numFmtId="0" fontId="52" fillId="0" borderId="0" xfId="0" applyFont="1" applyAlignment="1">
      <alignment horizontal="center"/>
    </xf>
    <xf numFmtId="165" fontId="8" fillId="30" borderId="60" xfId="0" applyNumberFormat="1" applyFont="1" applyFill="1" applyBorder="1" applyAlignment="1">
      <alignment horizontal="right" wrapText="1" indent="1"/>
    </xf>
    <xf numFmtId="165" fontId="11" fillId="30" borderId="0" xfId="0" applyNumberFormat="1" applyFont="1" applyFill="1" applyAlignment="1">
      <alignment horizontal="right"/>
    </xf>
    <xf numFmtId="3" fontId="8" fillId="30" borderId="6" xfId="2" applyNumberFormat="1" applyFont="1" applyFill="1" applyBorder="1" applyAlignment="1">
      <alignment horizontal="right" vertical="center" readingOrder="1"/>
    </xf>
    <xf numFmtId="0" fontId="9" fillId="0" borderId="0" xfId="2" applyFont="1" applyAlignment="1">
      <alignment horizontal="left" vertical="center" indent="3" readingOrder="1"/>
    </xf>
    <xf numFmtId="165" fontId="10" fillId="0" borderId="0" xfId="0" applyNumberFormat="1" applyFont="1" applyAlignment="1">
      <alignment horizontal="right" wrapText="1" indent="1"/>
    </xf>
    <xf numFmtId="170" fontId="10" fillId="0" borderId="0" xfId="46" applyNumberFormat="1" applyFont="1" applyFill="1" applyAlignment="1">
      <alignment horizontal="right" wrapText="1" indent="1"/>
    </xf>
    <xf numFmtId="165" fontId="8" fillId="0" borderId="6" xfId="2" applyNumberFormat="1" applyFont="1" applyBorder="1" applyAlignment="1">
      <alignment horizontal="right" vertical="center" wrapText="1" indent="1" readingOrder="1"/>
    </xf>
    <xf numFmtId="0" fontId="22" fillId="0" borderId="0" xfId="5" applyFont="1" applyAlignment="1"/>
    <xf numFmtId="165" fontId="0" fillId="0" borderId="0" xfId="46" applyNumberFormat="1" applyFont="1"/>
    <xf numFmtId="0" fontId="0" fillId="0" borderId="0" xfId="0" applyAlignment="1">
      <alignment wrapText="1"/>
    </xf>
    <xf numFmtId="0" fontId="7" fillId="0" borderId="87" xfId="2" applyFont="1" applyBorder="1" applyAlignment="1">
      <alignment horizontal="left" vertical="center" readingOrder="1"/>
    </xf>
    <xf numFmtId="0" fontId="7" fillId="0" borderId="88" xfId="2" applyFont="1" applyBorder="1" applyAlignment="1">
      <alignment horizontal="left" vertical="center" readingOrder="1"/>
    </xf>
    <xf numFmtId="165" fontId="8" fillId="0" borderId="88" xfId="0" applyNumberFormat="1" applyFont="1" applyBorder="1" applyAlignment="1">
      <alignment horizontal="right"/>
    </xf>
    <xf numFmtId="165" fontId="8" fillId="0" borderId="8" xfId="0" applyNumberFormat="1" applyFont="1" applyBorder="1" applyAlignment="1">
      <alignment horizontal="right"/>
    </xf>
    <xf numFmtId="3" fontId="8" fillId="0" borderId="88" xfId="0" applyNumberFormat="1" applyFont="1" applyBorder="1" applyAlignment="1">
      <alignment horizontal="right"/>
    </xf>
    <xf numFmtId="3" fontId="11" fillId="0" borderId="0" xfId="0" applyNumberFormat="1" applyFont="1" applyAlignment="1">
      <alignment horizontal="right"/>
    </xf>
    <xf numFmtId="3" fontId="8" fillId="0" borderId="8" xfId="0" applyNumberFormat="1" applyFont="1" applyBorder="1" applyAlignment="1">
      <alignment horizontal="right"/>
    </xf>
    <xf numFmtId="3" fontId="8" fillId="3" borderId="8" xfId="2" applyNumberFormat="1" applyFont="1" applyFill="1" applyBorder="1" applyAlignment="1">
      <alignment horizontal="right" vertical="center" wrapText="1" indent="1" readingOrder="1"/>
    </xf>
    <xf numFmtId="3" fontId="8" fillId="30" borderId="8" xfId="2" applyNumberFormat="1" applyFont="1" applyFill="1" applyBorder="1" applyAlignment="1">
      <alignment horizontal="right" vertical="center" wrapText="1" indent="1" readingOrder="1"/>
    </xf>
    <xf numFmtId="0" fontId="24" fillId="0" borderId="22" xfId="0" applyFont="1" applyBorder="1" applyAlignment="1">
      <alignment horizontal="left" vertical="center" readingOrder="1"/>
    </xf>
    <xf numFmtId="0" fontId="24" fillId="0" borderId="23" xfId="0" applyFont="1" applyBorder="1" applyAlignment="1">
      <alignment horizontal="left" vertical="center" readingOrder="1"/>
    </xf>
    <xf numFmtId="0" fontId="24" fillId="5" borderId="24" xfId="0" applyFont="1" applyFill="1" applyBorder="1" applyAlignment="1">
      <alignment horizontal="left" vertical="center" readingOrder="1"/>
    </xf>
    <xf numFmtId="0" fontId="24" fillId="5" borderId="25" xfId="0" applyFont="1" applyFill="1" applyBorder="1" applyAlignment="1">
      <alignment horizontal="left" vertical="center" readingOrder="1"/>
    </xf>
    <xf numFmtId="0" fontId="24" fillId="5" borderId="23" xfId="0" applyFont="1" applyFill="1" applyBorder="1" applyAlignment="1">
      <alignment horizontal="left" vertical="center" readingOrder="1"/>
    </xf>
    <xf numFmtId="0" fontId="24" fillId="6" borderId="27" xfId="0" applyFont="1" applyFill="1" applyBorder="1" applyAlignment="1">
      <alignment horizontal="left" vertical="center" readingOrder="1"/>
    </xf>
    <xf numFmtId="0" fontId="24" fillId="6" borderId="32" xfId="0" applyFont="1" applyFill="1" applyBorder="1" applyAlignment="1">
      <alignment horizontal="left" vertical="center" readingOrder="1"/>
    </xf>
    <xf numFmtId="0" fontId="24" fillId="6" borderId="38" xfId="0" applyFont="1" applyFill="1" applyBorder="1" applyAlignment="1">
      <alignment horizontal="left" vertical="center" readingOrder="1"/>
    </xf>
    <xf numFmtId="0" fontId="27" fillId="7" borderId="41" xfId="0" applyFont="1" applyFill="1" applyBorder="1" applyAlignment="1">
      <alignment horizontal="left" vertical="center" readingOrder="1"/>
    </xf>
    <xf numFmtId="0" fontId="26" fillId="0" borderId="44" xfId="0" applyFont="1" applyBorder="1" applyAlignment="1">
      <alignment vertical="center"/>
    </xf>
    <xf numFmtId="0" fontId="27" fillId="8" borderId="44" xfId="0" applyFont="1" applyFill="1" applyBorder="1" applyAlignment="1">
      <alignment horizontal="left" vertical="center" readingOrder="1"/>
    </xf>
    <xf numFmtId="164" fontId="11" fillId="0" borderId="0" xfId="0" applyNumberFormat="1" applyFont="1" applyAlignment="1">
      <alignment horizontal="right"/>
    </xf>
    <xf numFmtId="3" fontId="52" fillId="0" borderId="0" xfId="0" applyNumberFormat="1" applyFont="1" applyAlignment="1">
      <alignment horizontal="center"/>
    </xf>
    <xf numFmtId="166" fontId="11" fillId="0" borderId="0" xfId="1" applyNumberFormat="1" applyFont="1" applyFill="1" applyBorder="1" applyAlignment="1">
      <alignment horizontal="right" wrapText="1" indent="1"/>
    </xf>
    <xf numFmtId="0" fontId="7" fillId="0" borderId="89" xfId="2" applyFont="1" applyBorder="1" applyAlignment="1">
      <alignment horizontal="left" vertical="center" readingOrder="1"/>
    </xf>
    <xf numFmtId="0" fontId="0" fillId="0" borderId="0" xfId="0" applyAlignment="1">
      <alignment vertical="top" wrapText="1"/>
    </xf>
    <xf numFmtId="0" fontId="12" fillId="0" borderId="0" xfId="3" applyFont="1" applyAlignment="1">
      <alignment horizontal="left" vertical="center" wrapText="1" indent="2" readingOrder="1"/>
    </xf>
    <xf numFmtId="0" fontId="12" fillId="0" borderId="0" xfId="2" applyFont="1" applyAlignment="1">
      <alignment horizontal="left" vertical="top" readingOrder="1"/>
    </xf>
    <xf numFmtId="10" fontId="0" fillId="0" borderId="0" xfId="1" applyNumberFormat="1" applyFont="1"/>
    <xf numFmtId="165" fontId="11" fillId="3" borderId="0" xfId="0" applyNumberFormat="1" applyFont="1" applyFill="1" applyAlignment="1">
      <alignment horizontal="right"/>
    </xf>
    <xf numFmtId="0" fontId="56" fillId="0" borderId="0" xfId="0" applyFont="1"/>
    <xf numFmtId="0" fontId="6" fillId="31" borderId="4" xfId="2" applyFont="1" applyFill="1" applyBorder="1" applyAlignment="1">
      <alignment horizontal="center" vertical="center" wrapText="1" readingOrder="1"/>
    </xf>
    <xf numFmtId="3" fontId="8" fillId="32" borderId="0" xfId="2" applyNumberFormat="1" applyFont="1" applyFill="1" applyAlignment="1">
      <alignment horizontal="right" vertical="center" wrapText="1" indent="1" readingOrder="1"/>
    </xf>
    <xf numFmtId="166" fontId="8" fillId="32" borderId="0" xfId="2" applyNumberFormat="1" applyFont="1" applyFill="1" applyAlignment="1">
      <alignment horizontal="right" vertical="center" wrapText="1" indent="1" readingOrder="1"/>
    </xf>
    <xf numFmtId="166" fontId="56" fillId="0" borderId="0" xfId="0" applyNumberFormat="1" applyFont="1"/>
    <xf numFmtId="166" fontId="8" fillId="0" borderId="0" xfId="2" applyNumberFormat="1" applyFont="1" applyAlignment="1">
      <alignment horizontal="right" vertical="center" wrapText="1" indent="1" readingOrder="1"/>
    </xf>
    <xf numFmtId="3" fontId="56" fillId="0" borderId="0" xfId="0" applyNumberFormat="1" applyFont="1"/>
    <xf numFmtId="0" fontId="57" fillId="0" borderId="0" xfId="5" applyFont="1" applyFill="1" applyBorder="1"/>
    <xf numFmtId="166" fontId="57" fillId="0" borderId="0" xfId="5" applyNumberFormat="1" applyFont="1" applyFill="1" applyBorder="1"/>
    <xf numFmtId="3" fontId="57" fillId="0" borderId="0" xfId="5" applyNumberFormat="1" applyFont="1" applyFill="1" applyBorder="1"/>
    <xf numFmtId="165" fontId="56" fillId="0" borderId="0" xfId="0" applyNumberFormat="1" applyFont="1"/>
    <xf numFmtId="166" fontId="8" fillId="32" borderId="0" xfId="1" applyNumberFormat="1" applyFont="1" applyFill="1" applyBorder="1" applyAlignment="1">
      <alignment horizontal="right" vertical="center" wrapText="1" indent="1" readingOrder="1"/>
    </xf>
    <xf numFmtId="165" fontId="8" fillId="32" borderId="0" xfId="0" applyNumberFormat="1" applyFont="1" applyFill="1" applyAlignment="1">
      <alignment horizontal="right" wrapText="1" indent="1"/>
    </xf>
    <xf numFmtId="166" fontId="11" fillId="0" borderId="90" xfId="1" applyNumberFormat="1" applyFont="1" applyFill="1" applyBorder="1" applyAlignment="1">
      <alignment horizontal="right" vertical="center" wrapText="1" indent="1" readingOrder="1"/>
    </xf>
    <xf numFmtId="165" fontId="11" fillId="0" borderId="90" xfId="0" applyNumberFormat="1" applyFont="1" applyBorder="1" applyAlignment="1">
      <alignment horizontal="right" wrapText="1" indent="1"/>
    </xf>
    <xf numFmtId="172" fontId="0" fillId="0" borderId="0" xfId="0" applyNumberFormat="1"/>
    <xf numFmtId="166" fontId="11" fillId="0" borderId="0" xfId="1" applyNumberFormat="1" applyFont="1" applyBorder="1" applyAlignment="1">
      <alignment horizontal="right" vertical="center" wrapText="1" indent="1" readingOrder="1"/>
    </xf>
    <xf numFmtId="166" fontId="11" fillId="3" borderId="0" xfId="1" applyNumberFormat="1" applyFont="1" applyFill="1" applyBorder="1" applyAlignment="1">
      <alignment horizontal="right" vertical="center" wrapText="1" indent="1" readingOrder="1"/>
    </xf>
    <xf numFmtId="10" fontId="11" fillId="3" borderId="0" xfId="1" applyNumberFormat="1" applyFont="1" applyFill="1" applyBorder="1" applyAlignment="1">
      <alignment horizontal="right" vertical="center" wrapText="1" indent="1" readingOrder="1"/>
    </xf>
    <xf numFmtId="167" fontId="47" fillId="3" borderId="0" xfId="0" applyNumberFormat="1" applyFont="1" applyFill="1" applyAlignment="1">
      <alignment horizontal="right" wrapText="1" indent="1"/>
    </xf>
    <xf numFmtId="0" fontId="58" fillId="0" borderId="0" xfId="2" applyFont="1" applyAlignment="1">
      <alignment horizontal="left" vertical="center" readingOrder="1"/>
    </xf>
    <xf numFmtId="0" fontId="12" fillId="0" borderId="5" xfId="3" applyFont="1" applyBorder="1" applyAlignment="1">
      <alignment horizontal="left" vertical="center" wrapText="1" readingOrder="1"/>
    </xf>
    <xf numFmtId="165" fontId="8" fillId="0" borderId="6" xfId="0" applyNumberFormat="1" applyFont="1" applyBorder="1" applyAlignment="1">
      <alignment horizontal="right" wrapText="1" indent="1"/>
    </xf>
    <xf numFmtId="165" fontId="11" fillId="0" borderId="91" xfId="0" applyNumberFormat="1" applyFont="1" applyBorder="1" applyAlignment="1">
      <alignment horizontal="right" wrapText="1" indent="1"/>
    </xf>
    <xf numFmtId="165" fontId="8" fillId="33" borderId="0" xfId="0" applyNumberFormat="1" applyFont="1" applyFill="1" applyAlignment="1">
      <alignment horizontal="right" wrapText="1" indent="1"/>
    </xf>
    <xf numFmtId="165" fontId="8" fillId="0" borderId="66" xfId="0" applyNumberFormat="1" applyFont="1" applyBorder="1" applyAlignment="1">
      <alignment horizontal="right" wrapText="1" indent="1"/>
    </xf>
    <xf numFmtId="165" fontId="8" fillId="0" borderId="5" xfId="0" applyNumberFormat="1" applyFont="1" applyBorder="1" applyAlignment="1">
      <alignment horizontal="right" wrapText="1" indent="1"/>
    </xf>
    <xf numFmtId="0" fontId="9" fillId="0" borderId="0" xfId="3" applyFont="1" applyAlignment="1">
      <alignment horizontal="left" vertical="center" wrapText="1" indent="3" readingOrder="1"/>
    </xf>
    <xf numFmtId="0" fontId="12" fillId="0" borderId="0" xfId="3" applyFont="1" applyAlignment="1">
      <alignment horizontal="left" vertical="center" wrapText="1" indent="6" readingOrder="1"/>
    </xf>
    <xf numFmtId="0" fontId="58" fillId="0" borderId="0" xfId="2" applyFont="1" applyAlignment="1">
      <alignment horizontal="left" vertical="top" readingOrder="1"/>
    </xf>
    <xf numFmtId="3" fontId="8" fillId="3" borderId="0" xfId="0" applyNumberFormat="1" applyFont="1" applyFill="1" applyAlignment="1">
      <alignment horizontal="right" wrapText="1" indent="1"/>
    </xf>
    <xf numFmtId="9" fontId="8" fillId="3" borderId="0" xfId="0" applyNumberFormat="1" applyFont="1" applyFill="1" applyAlignment="1">
      <alignment horizontal="right" wrapText="1" indent="1"/>
    </xf>
    <xf numFmtId="166" fontId="8" fillId="3" borderId="0" xfId="1" applyNumberFormat="1" applyFont="1" applyFill="1" applyBorder="1" applyAlignment="1">
      <alignment horizontal="right" wrapText="1" indent="1"/>
    </xf>
    <xf numFmtId="3" fontId="11" fillId="0" borderId="0" xfId="2" applyNumberFormat="1" applyFont="1" applyAlignment="1">
      <alignment horizontal="right" vertical="center" readingOrder="1"/>
    </xf>
    <xf numFmtId="0" fontId="5" fillId="0" borderId="0" xfId="3" applyFont="1" applyAlignment="1">
      <alignment vertical="center" wrapText="1" readingOrder="1"/>
    </xf>
    <xf numFmtId="0" fontId="5" fillId="0" borderId="55" xfId="3" applyFont="1" applyBorder="1" applyAlignment="1">
      <alignment vertical="center" wrapText="1" readingOrder="1"/>
    </xf>
    <xf numFmtId="4" fontId="8" fillId="0" borderId="0" xfId="2" applyNumberFormat="1" applyFont="1" applyAlignment="1">
      <alignment horizontal="right" vertical="center" wrapText="1" indent="1" readingOrder="1"/>
    </xf>
    <xf numFmtId="0" fontId="5" fillId="2" borderId="86" xfId="2" applyFont="1" applyFill="1" applyBorder="1" applyAlignment="1">
      <alignment horizontal="center" vertical="center" wrapText="1" readingOrder="1"/>
    </xf>
    <xf numFmtId="0" fontId="5" fillId="2" borderId="64" xfId="2" applyFont="1" applyFill="1" applyBorder="1" applyAlignment="1">
      <alignment horizontal="center" vertical="center" wrapText="1" readingOrder="1"/>
    </xf>
    <xf numFmtId="166" fontId="8" fillId="0" borderId="0" xfId="1" applyNumberFormat="1" applyFont="1" applyFill="1" applyBorder="1" applyAlignment="1">
      <alignment horizontal="right" vertical="center" wrapText="1" indent="1" readingOrder="1"/>
    </xf>
    <xf numFmtId="0" fontId="0" fillId="34" borderId="0" xfId="0" applyFill="1"/>
    <xf numFmtId="0" fontId="12" fillId="0" borderId="92" xfId="2" applyFont="1" applyBorder="1" applyAlignment="1">
      <alignment horizontal="left" vertical="center" readingOrder="1"/>
    </xf>
    <xf numFmtId="0" fontId="12" fillId="0" borderId="7" xfId="2" applyFont="1" applyBorder="1" applyAlignment="1">
      <alignment horizontal="left" vertical="center" readingOrder="1"/>
    </xf>
    <xf numFmtId="0" fontId="7" fillId="0" borderId="8" xfId="2" applyFont="1" applyBorder="1" applyAlignment="1">
      <alignment horizontal="left" vertical="center" readingOrder="1"/>
    </xf>
    <xf numFmtId="3" fontId="8" fillId="0" borderId="8" xfId="2" applyNumberFormat="1" applyFont="1" applyBorder="1" applyAlignment="1">
      <alignment horizontal="right" vertical="center" wrapText="1" indent="1" readingOrder="1"/>
    </xf>
    <xf numFmtId="165" fontId="8" fillId="3" borderId="8" xfId="0" applyNumberFormat="1" applyFont="1" applyFill="1" applyBorder="1" applyAlignment="1">
      <alignment horizontal="right" wrapText="1" indent="1"/>
    </xf>
    <xf numFmtId="0" fontId="13" fillId="0" borderId="53" xfId="2" applyFont="1" applyBorder="1" applyAlignment="1">
      <alignment horizontal="left" vertical="center" readingOrder="1"/>
    </xf>
    <xf numFmtId="3" fontId="11" fillId="0" borderId="53" xfId="2" applyNumberFormat="1" applyFont="1" applyBorder="1" applyAlignment="1">
      <alignment horizontal="right" vertical="center" wrapText="1" indent="1" readingOrder="1"/>
    </xf>
    <xf numFmtId="165" fontId="10" fillId="30" borderId="0" xfId="0" applyNumberFormat="1" applyFont="1" applyFill="1" applyAlignment="1">
      <alignment horizontal="right" wrapText="1" indent="1"/>
    </xf>
    <xf numFmtId="165" fontId="10" fillId="3" borderId="0" xfId="0" applyNumberFormat="1" applyFont="1" applyFill="1" applyAlignment="1">
      <alignment horizontal="right" wrapText="1" indent="1"/>
    </xf>
    <xf numFmtId="167" fontId="10" fillId="0" borderId="0" xfId="0" applyNumberFormat="1" applyFont="1" applyAlignment="1">
      <alignment horizontal="right" wrapText="1" indent="1"/>
    </xf>
    <xf numFmtId="167" fontId="10" fillId="30" borderId="0" xfId="0" applyNumberFormat="1" applyFont="1" applyFill="1" applyAlignment="1">
      <alignment horizontal="right" wrapText="1" indent="1"/>
    </xf>
    <xf numFmtId="167" fontId="10" fillId="3" borderId="0" xfId="0" applyNumberFormat="1" applyFont="1" applyFill="1" applyAlignment="1">
      <alignment horizontal="right" wrapText="1" indent="1"/>
    </xf>
    <xf numFmtId="0" fontId="32" fillId="2" borderId="2" xfId="3" applyFont="1" applyFill="1" applyBorder="1" applyAlignment="1">
      <alignment horizontal="left" vertical="center" wrapText="1" readingOrder="1"/>
    </xf>
    <xf numFmtId="0" fontId="32" fillId="2" borderId="58" xfId="3" applyFont="1" applyFill="1" applyBorder="1" applyAlignment="1">
      <alignment horizontal="left" vertical="center" wrapText="1" readingOrder="1"/>
    </xf>
    <xf numFmtId="0" fontId="32" fillId="2" borderId="0" xfId="3" applyFont="1" applyFill="1" applyAlignment="1">
      <alignment horizontal="left" vertical="center" wrapText="1" readingOrder="1"/>
    </xf>
    <xf numFmtId="0" fontId="7" fillId="0" borderId="93" xfId="2" applyFont="1" applyBorder="1" applyAlignment="1">
      <alignment horizontal="left" vertical="center" readingOrder="1"/>
    </xf>
    <xf numFmtId="0" fontId="12" fillId="0" borderId="88" xfId="3" applyFont="1" applyBorder="1" applyAlignment="1">
      <alignment horizontal="left" vertical="center" wrapText="1" readingOrder="1"/>
    </xf>
    <xf numFmtId="3" fontId="11" fillId="0" borderId="88" xfId="2" applyNumberFormat="1" applyFont="1" applyBorder="1" applyAlignment="1">
      <alignment horizontal="right" vertical="center" wrapText="1" indent="1" readingOrder="1"/>
    </xf>
    <xf numFmtId="166" fontId="11" fillId="0" borderId="88" xfId="1" applyNumberFormat="1" applyFont="1" applyFill="1" applyBorder="1" applyAlignment="1">
      <alignment horizontal="right" vertical="center" wrapText="1" indent="1" readingOrder="1"/>
    </xf>
    <xf numFmtId="165" fontId="11" fillId="0" borderId="88" xfId="0" applyNumberFormat="1" applyFont="1" applyBorder="1" applyAlignment="1">
      <alignment horizontal="right" wrapText="1" indent="1"/>
    </xf>
    <xf numFmtId="166" fontId="11" fillId="0" borderId="88" xfId="2" applyNumberFormat="1" applyFont="1" applyBorder="1" applyAlignment="1">
      <alignment horizontal="right" vertical="center" wrapText="1" indent="1" readingOrder="1"/>
    </xf>
    <xf numFmtId="3" fontId="8" fillId="32" borderId="88" xfId="2" applyNumberFormat="1" applyFont="1" applyFill="1" applyBorder="1" applyAlignment="1">
      <alignment horizontal="right" vertical="center" wrapText="1" indent="1" readingOrder="1"/>
    </xf>
    <xf numFmtId="166" fontId="8" fillId="32" borderId="88" xfId="2" applyNumberFormat="1" applyFont="1" applyFill="1" applyBorder="1" applyAlignment="1">
      <alignment horizontal="right" vertical="center" wrapText="1" indent="1" readingOrder="1"/>
    </xf>
    <xf numFmtId="3" fontId="8" fillId="3" borderId="88" xfId="2" applyNumberFormat="1" applyFont="1" applyFill="1" applyBorder="1" applyAlignment="1">
      <alignment horizontal="right" vertical="center" wrapText="1" indent="1" readingOrder="1"/>
    </xf>
    <xf numFmtId="166" fontId="8" fillId="32" borderId="88" xfId="1" applyNumberFormat="1" applyFont="1" applyFill="1" applyBorder="1" applyAlignment="1">
      <alignment horizontal="right" vertical="center" wrapText="1" indent="1" readingOrder="1"/>
    </xf>
    <xf numFmtId="165" fontId="11" fillId="0" borderId="88" xfId="2" applyNumberFormat="1" applyFont="1" applyBorder="1" applyAlignment="1">
      <alignment horizontal="right" vertical="center" wrapText="1" indent="1" readingOrder="1"/>
    </xf>
    <xf numFmtId="165" fontId="8" fillId="32" borderId="88" xfId="0" applyNumberFormat="1" applyFont="1" applyFill="1" applyBorder="1" applyAlignment="1">
      <alignment horizontal="right" wrapText="1" indent="1"/>
    </xf>
    <xf numFmtId="165" fontId="8" fillId="3" borderId="88" xfId="0" applyNumberFormat="1" applyFont="1" applyFill="1" applyBorder="1" applyAlignment="1">
      <alignment horizontal="right" wrapText="1" indent="1"/>
    </xf>
    <xf numFmtId="0" fontId="12" fillId="0" borderId="87" xfId="3" applyFont="1" applyBorder="1" applyAlignment="1">
      <alignment horizontal="left" vertical="center" wrapText="1" readingOrder="1"/>
    </xf>
    <xf numFmtId="3" fontId="11" fillId="0" borderId="87" xfId="2" applyNumberFormat="1" applyFont="1" applyBorder="1" applyAlignment="1">
      <alignment horizontal="right" vertical="center" wrapText="1" indent="1" readingOrder="1"/>
    </xf>
    <xf numFmtId="166" fontId="11" fillId="0" borderId="87" xfId="1" applyNumberFormat="1" applyFont="1" applyFill="1" applyBorder="1" applyAlignment="1">
      <alignment horizontal="right" vertical="center" wrapText="1" indent="1" readingOrder="1"/>
    </xf>
    <xf numFmtId="165" fontId="11" fillId="0" borderId="87" xfId="0" applyNumberFormat="1" applyFont="1" applyBorder="1" applyAlignment="1">
      <alignment horizontal="right" wrapText="1" indent="1"/>
    </xf>
    <xf numFmtId="165" fontId="8" fillId="32" borderId="87" xfId="0" applyNumberFormat="1" applyFont="1" applyFill="1" applyBorder="1" applyAlignment="1">
      <alignment horizontal="right" wrapText="1" indent="1"/>
    </xf>
    <xf numFmtId="3" fontId="11" fillId="32" borderId="87" xfId="2" applyNumberFormat="1" applyFont="1" applyFill="1" applyBorder="1" applyAlignment="1">
      <alignment horizontal="right" vertical="center" wrapText="1" indent="1" readingOrder="1"/>
    </xf>
    <xf numFmtId="3" fontId="8" fillId="3" borderId="87" xfId="2" applyNumberFormat="1" applyFont="1" applyFill="1" applyBorder="1" applyAlignment="1">
      <alignment horizontal="right" vertical="center" wrapText="1" indent="1" readingOrder="1"/>
    </xf>
    <xf numFmtId="3" fontId="8" fillId="32" borderId="87" xfId="2" applyNumberFormat="1" applyFont="1" applyFill="1" applyBorder="1" applyAlignment="1">
      <alignment horizontal="right" vertical="center" wrapText="1" indent="1" readingOrder="1"/>
    </xf>
    <xf numFmtId="166" fontId="11" fillId="0" borderId="87" xfId="2" applyNumberFormat="1" applyFont="1" applyBorder="1" applyAlignment="1">
      <alignment horizontal="right" vertical="center" wrapText="1" indent="1" readingOrder="1"/>
    </xf>
    <xf numFmtId="166" fontId="8" fillId="32" borderId="87" xfId="2" applyNumberFormat="1" applyFont="1" applyFill="1" applyBorder="1" applyAlignment="1">
      <alignment horizontal="right" vertical="center" wrapText="1" indent="1" readingOrder="1"/>
    </xf>
    <xf numFmtId="166" fontId="56" fillId="0" borderId="87" xfId="0" applyNumberFormat="1" applyFont="1" applyBorder="1"/>
    <xf numFmtId="166" fontId="8" fillId="3" borderId="87" xfId="2" applyNumberFormat="1" applyFont="1" applyFill="1" applyBorder="1" applyAlignment="1">
      <alignment horizontal="right" vertical="center" wrapText="1" indent="1" readingOrder="1"/>
    </xf>
    <xf numFmtId="165" fontId="8" fillId="3" borderId="87" xfId="0" applyNumberFormat="1" applyFont="1" applyFill="1" applyBorder="1" applyAlignment="1">
      <alignment horizontal="right" wrapText="1" indent="1"/>
    </xf>
    <xf numFmtId="166" fontId="8" fillId="32" borderId="87" xfId="1" applyNumberFormat="1" applyFont="1" applyFill="1" applyBorder="1" applyAlignment="1">
      <alignment horizontal="right" vertical="center" wrapText="1" indent="1" readingOrder="1"/>
    </xf>
    <xf numFmtId="3" fontId="8" fillId="0" borderId="88" xfId="2" applyNumberFormat="1" applyFont="1" applyBorder="1" applyAlignment="1">
      <alignment horizontal="right" vertical="center" wrapText="1" indent="1" readingOrder="1"/>
    </xf>
    <xf numFmtId="165" fontId="8" fillId="0" borderId="88" xfId="0" applyNumberFormat="1" applyFont="1" applyBorder="1" applyAlignment="1">
      <alignment horizontal="right" wrapText="1" indent="1"/>
    </xf>
    <xf numFmtId="0" fontId="61" fillId="0" borderId="0" xfId="0" applyFont="1" applyAlignment="1">
      <alignment horizontal="left" vertical="center" readingOrder="1"/>
    </xf>
    <xf numFmtId="0" fontId="32" fillId="2" borderId="64" xfId="3" applyFont="1" applyFill="1" applyBorder="1" applyAlignment="1">
      <alignment horizontal="left" vertical="center" wrapText="1" readingOrder="1"/>
    </xf>
    <xf numFmtId="0" fontId="22" fillId="0" borderId="0" xfId="5" applyFont="1" applyAlignment="1">
      <alignment horizontal="left"/>
    </xf>
    <xf numFmtId="0" fontId="62" fillId="0" borderId="0" xfId="0" applyFont="1" applyAlignment="1">
      <alignment horizontal="left" vertical="center" readingOrder="1"/>
    </xf>
    <xf numFmtId="0" fontId="62" fillId="0" borderId="0" xfId="0" applyFont="1" applyAlignment="1">
      <alignment horizontal="left" vertical="top" readingOrder="1"/>
    </xf>
    <xf numFmtId="0" fontId="32" fillId="2" borderId="2" xfId="3" applyFont="1" applyFill="1" applyBorder="1" applyAlignment="1">
      <alignment horizontal="left" vertical="center" readingOrder="1"/>
    </xf>
    <xf numFmtId="0" fontId="32" fillId="2" borderId="58" xfId="3" applyFont="1" applyFill="1" applyBorder="1" applyAlignment="1">
      <alignment horizontal="left" vertical="center" readingOrder="1"/>
    </xf>
    <xf numFmtId="0" fontId="32" fillId="2" borderId="0" xfId="3" applyFont="1" applyFill="1" applyAlignment="1">
      <alignment horizontal="left" vertical="center" readingOrder="1"/>
    </xf>
    <xf numFmtId="0" fontId="61" fillId="0" borderId="0" xfId="0" applyFont="1" applyAlignment="1">
      <alignment horizontal="left" vertical="top" readingOrder="1"/>
    </xf>
    <xf numFmtId="164" fontId="8" fillId="3" borderId="88" xfId="0" applyNumberFormat="1" applyFont="1" applyFill="1" applyBorder="1" applyAlignment="1">
      <alignment horizontal="right"/>
    </xf>
    <xf numFmtId="2" fontId="11" fillId="3" borderId="0" xfId="0" applyNumberFormat="1" applyFont="1" applyFill="1" applyAlignment="1">
      <alignment horizontal="right"/>
    </xf>
    <xf numFmtId="164" fontId="11" fillId="3" borderId="0" xfId="0" applyNumberFormat="1" applyFont="1" applyFill="1" applyAlignment="1">
      <alignment horizontal="right"/>
    </xf>
    <xf numFmtId="4" fontId="11" fillId="3" borderId="0" xfId="0" applyNumberFormat="1" applyFont="1" applyFill="1" applyAlignment="1">
      <alignment horizontal="right"/>
    </xf>
    <xf numFmtId="164" fontId="8" fillId="3" borderId="8" xfId="0" applyNumberFormat="1" applyFont="1" applyFill="1" applyBorder="1" applyAlignment="1">
      <alignment horizontal="right"/>
    </xf>
    <xf numFmtId="4" fontId="8" fillId="3" borderId="88" xfId="0" applyNumberFormat="1" applyFont="1" applyFill="1" applyBorder="1" applyAlignment="1">
      <alignment horizontal="right"/>
    </xf>
    <xf numFmtId="4" fontId="8" fillId="3" borderId="8" xfId="0" applyNumberFormat="1" applyFont="1" applyFill="1" applyBorder="1" applyAlignment="1">
      <alignment horizontal="right"/>
    </xf>
    <xf numFmtId="0" fontId="0" fillId="0" borderId="0" xfId="0" applyAlignment="1">
      <alignment horizontal="left" indent="3"/>
    </xf>
    <xf numFmtId="165" fontId="8" fillId="36" borderId="0" xfId="0" applyNumberFormat="1" applyFont="1" applyFill="1" applyAlignment="1">
      <alignment horizontal="right" wrapText="1" indent="1"/>
    </xf>
    <xf numFmtId="3" fontId="8" fillId="36" borderId="0" xfId="0" applyNumberFormat="1" applyFont="1" applyFill="1" applyAlignment="1">
      <alignment horizontal="right" wrapText="1" indent="1"/>
    </xf>
    <xf numFmtId="3" fontId="10" fillId="0" borderId="0" xfId="2" applyNumberFormat="1" applyFont="1" applyAlignment="1">
      <alignment horizontal="right" vertical="center" wrapText="1" indent="1" readingOrder="1"/>
    </xf>
    <xf numFmtId="165" fontId="10" fillId="36" borderId="0" xfId="0" applyNumberFormat="1" applyFont="1" applyFill="1" applyAlignment="1">
      <alignment horizontal="right" wrapText="1" indent="1"/>
    </xf>
    <xf numFmtId="3" fontId="10" fillId="30" borderId="0" xfId="2" applyNumberFormat="1" applyFont="1" applyFill="1" applyAlignment="1">
      <alignment horizontal="right" vertical="center" wrapText="1" indent="1" readingOrder="1"/>
    </xf>
    <xf numFmtId="0" fontId="9" fillId="0" borderId="0" xfId="2" applyFont="1" applyAlignment="1">
      <alignment horizontal="left" vertical="center" wrapText="1" indent="3" readingOrder="1"/>
    </xf>
    <xf numFmtId="1" fontId="11" fillId="0" borderId="0" xfId="1" applyNumberFormat="1" applyFont="1" applyFill="1" applyBorder="1" applyAlignment="1">
      <alignment horizontal="right" vertical="center" wrapText="1" indent="1" readingOrder="1"/>
    </xf>
    <xf numFmtId="170" fontId="11" fillId="0" borderId="0" xfId="46" applyNumberFormat="1" applyFont="1" applyFill="1" applyBorder="1" applyAlignment="1">
      <alignment horizontal="right" vertical="center" wrapText="1" indent="1" readingOrder="1"/>
    </xf>
    <xf numFmtId="0" fontId="56" fillId="0" borderId="87" xfId="0" applyFont="1" applyBorder="1"/>
    <xf numFmtId="3" fontId="8" fillId="36" borderId="88" xfId="2" applyNumberFormat="1" applyFont="1" applyFill="1" applyBorder="1" applyAlignment="1">
      <alignment horizontal="right" vertical="center" wrapText="1" indent="1" readingOrder="1"/>
    </xf>
    <xf numFmtId="166" fontId="8" fillId="36" borderId="88" xfId="2" applyNumberFormat="1" applyFont="1" applyFill="1" applyBorder="1" applyAlignment="1">
      <alignment horizontal="right" vertical="center" wrapText="1" indent="1" readingOrder="1"/>
    </xf>
    <xf numFmtId="3" fontId="8" fillId="36" borderId="0" xfId="2" applyNumberFormat="1" applyFont="1" applyFill="1" applyAlignment="1">
      <alignment horizontal="right" vertical="center" wrapText="1" indent="1" readingOrder="1"/>
    </xf>
    <xf numFmtId="166" fontId="8" fillId="36" borderId="0" xfId="2" applyNumberFormat="1" applyFont="1" applyFill="1" applyAlignment="1">
      <alignment horizontal="right" vertical="center" wrapText="1" indent="1" readingOrder="1"/>
    </xf>
    <xf numFmtId="3" fontId="8" fillId="36" borderId="87" xfId="2" applyNumberFormat="1" applyFont="1" applyFill="1" applyBorder="1" applyAlignment="1">
      <alignment horizontal="right" vertical="center" wrapText="1" indent="1" readingOrder="1"/>
    </xf>
    <xf numFmtId="3" fontId="11" fillId="36" borderId="87" xfId="2" applyNumberFormat="1" applyFont="1" applyFill="1" applyBorder="1" applyAlignment="1">
      <alignment horizontal="right" vertical="center" wrapText="1" indent="1" readingOrder="1"/>
    </xf>
    <xf numFmtId="165" fontId="8" fillId="36" borderId="87" xfId="0" applyNumberFormat="1" applyFont="1" applyFill="1" applyBorder="1" applyAlignment="1">
      <alignment horizontal="right" wrapText="1" indent="1"/>
    </xf>
    <xf numFmtId="165" fontId="11" fillId="0" borderId="0" xfId="0" applyNumberFormat="1" applyFont="1" applyFill="1" applyAlignment="1">
      <alignment horizontal="right" wrapText="1" indent="1"/>
    </xf>
    <xf numFmtId="0" fontId="63" fillId="0" borderId="0" xfId="2" applyFont="1" applyAlignment="1">
      <alignment horizontal="left" vertical="center" wrapText="1" indent="3" readingOrder="1"/>
    </xf>
    <xf numFmtId="3" fontId="8" fillId="0" borderId="6" xfId="2" applyNumberFormat="1" applyFont="1" applyFill="1" applyBorder="1" applyAlignment="1">
      <alignment horizontal="right" vertical="center" wrapText="1" indent="1" readingOrder="1"/>
    </xf>
    <xf numFmtId="0" fontId="12" fillId="0" borderId="0" xfId="3" applyFont="1" applyFill="1" applyAlignment="1">
      <alignment horizontal="left" vertical="center" wrapText="1" readingOrder="1"/>
    </xf>
    <xf numFmtId="3" fontId="10" fillId="0" borderId="0" xfId="2" applyNumberFormat="1" applyFont="1" applyFill="1" applyAlignment="1">
      <alignment horizontal="right" vertical="center" wrapText="1" indent="1" readingOrder="1"/>
    </xf>
    <xf numFmtId="3" fontId="11" fillId="0" borderId="0" xfId="2" applyNumberFormat="1" applyFont="1" applyFill="1" applyAlignment="1">
      <alignment horizontal="right" vertical="center" wrapText="1" indent="1" readingOrder="1"/>
    </xf>
    <xf numFmtId="0" fontId="0" fillId="0" borderId="0" xfId="0" applyFill="1"/>
    <xf numFmtId="165" fontId="0" fillId="0" borderId="0" xfId="0" applyNumberFormat="1" applyFill="1"/>
    <xf numFmtId="165" fontId="11" fillId="0" borderId="5" xfId="0" applyNumberFormat="1" applyFont="1" applyFill="1" applyBorder="1" applyAlignment="1">
      <alignment horizontal="right" wrapText="1" indent="1"/>
    </xf>
    <xf numFmtId="0" fontId="12" fillId="0" borderId="0" xfId="2" applyFont="1" applyFill="1" applyAlignment="1">
      <alignment horizontal="left" vertical="center" indent="3" readingOrder="1"/>
    </xf>
    <xf numFmtId="164" fontId="64" fillId="3" borderId="88" xfId="0" applyNumberFormat="1" applyFont="1" applyFill="1" applyBorder="1" applyAlignment="1">
      <alignment horizontal="right"/>
    </xf>
    <xf numFmtId="2" fontId="47" fillId="3" borderId="0" xfId="0" applyNumberFormat="1" applyFont="1" applyFill="1" applyAlignment="1">
      <alignment horizontal="right"/>
    </xf>
    <xf numFmtId="4" fontId="47" fillId="3" borderId="0" xfId="0" applyNumberFormat="1" applyFont="1" applyFill="1" applyAlignment="1">
      <alignment horizontal="right"/>
    </xf>
    <xf numFmtId="165" fontId="47" fillId="3" borderId="0" xfId="0" applyNumberFormat="1" applyFont="1" applyFill="1" applyAlignment="1">
      <alignment horizontal="right" wrapText="1" indent="1"/>
    </xf>
    <xf numFmtId="164" fontId="47" fillId="3" borderId="0" xfId="0" applyNumberFormat="1" applyFont="1" applyFill="1" applyAlignment="1">
      <alignment horizontal="right"/>
    </xf>
    <xf numFmtId="164" fontId="64" fillId="3" borderId="8" xfId="0" applyNumberFormat="1" applyFont="1" applyFill="1" applyBorder="1" applyAlignment="1">
      <alignment horizontal="right"/>
    </xf>
    <xf numFmtId="167" fontId="8" fillId="0" borderId="0" xfId="0" applyNumberFormat="1" applyFont="1" applyFill="1" applyAlignment="1">
      <alignment horizontal="right" wrapText="1" indent="1"/>
    </xf>
    <xf numFmtId="167" fontId="10" fillId="0" borderId="0" xfId="0" applyNumberFormat="1" applyFont="1" applyFill="1" applyAlignment="1">
      <alignment horizontal="right" wrapText="1" indent="1"/>
    </xf>
    <xf numFmtId="167" fontId="8" fillId="0" borderId="8" xfId="0" applyNumberFormat="1" applyFont="1" applyFill="1" applyBorder="1" applyAlignment="1">
      <alignment horizontal="right" wrapText="1" indent="1"/>
    </xf>
    <xf numFmtId="167" fontId="11" fillId="0" borderId="0" xfId="0" applyNumberFormat="1" applyFont="1" applyFill="1" applyAlignment="1">
      <alignment horizontal="right" wrapText="1" indent="1"/>
    </xf>
    <xf numFmtId="3" fontId="8" fillId="0" borderId="0" xfId="2" applyNumberFormat="1" applyFont="1" applyFill="1" applyAlignment="1">
      <alignment horizontal="right" vertical="center" wrapText="1" indent="1" readingOrder="1"/>
    </xf>
    <xf numFmtId="3" fontId="64" fillId="0" borderId="88" xfId="0" applyNumberFormat="1" applyFont="1" applyFill="1" applyBorder="1" applyAlignment="1">
      <alignment horizontal="right"/>
    </xf>
    <xf numFmtId="3" fontId="47" fillId="0" borderId="0" xfId="0" applyNumberFormat="1" applyFont="1" applyFill="1" applyAlignment="1">
      <alignment horizontal="right"/>
    </xf>
    <xf numFmtId="165" fontId="47" fillId="0" borderId="0" xfId="0" applyNumberFormat="1" applyFont="1" applyFill="1" applyAlignment="1">
      <alignment horizontal="right" wrapText="1" indent="1"/>
    </xf>
    <xf numFmtId="3" fontId="64" fillId="0" borderId="8" xfId="0" applyNumberFormat="1" applyFont="1" applyFill="1" applyBorder="1" applyAlignment="1">
      <alignment horizontal="right"/>
    </xf>
    <xf numFmtId="167" fontId="11" fillId="0" borderId="0" xfId="0" quotePrefix="1" applyNumberFormat="1" applyFont="1" applyAlignment="1">
      <alignment horizontal="right" wrapText="1" indent="1"/>
    </xf>
    <xf numFmtId="0" fontId="5" fillId="2" borderId="94" xfId="2" applyFont="1" applyFill="1" applyBorder="1" applyAlignment="1">
      <alignment horizontal="center" vertical="center" wrapText="1" readingOrder="1"/>
    </xf>
    <xf numFmtId="164" fontId="64" fillId="3" borderId="88" xfId="0" applyNumberFormat="1" applyFont="1" applyFill="1" applyBorder="1" applyAlignment="1">
      <alignment horizontal="right" vertical="center"/>
    </xf>
    <xf numFmtId="2" fontId="47" fillId="3" borderId="0" xfId="0" applyNumberFormat="1" applyFont="1" applyFill="1" applyAlignment="1">
      <alignment horizontal="right" vertical="center"/>
    </xf>
    <xf numFmtId="165" fontId="47" fillId="3" borderId="0" xfId="0" applyNumberFormat="1" applyFont="1" applyFill="1" applyAlignment="1">
      <alignment horizontal="right" vertical="center" wrapText="1"/>
    </xf>
    <xf numFmtId="164" fontId="47" fillId="3" borderId="0" xfId="0" applyNumberFormat="1" applyFont="1" applyFill="1" applyAlignment="1">
      <alignment horizontal="right" vertical="center"/>
    </xf>
    <xf numFmtId="4" fontId="47" fillId="3" borderId="0" xfId="0" applyNumberFormat="1" applyFont="1" applyFill="1" applyAlignment="1">
      <alignment horizontal="right" vertical="center"/>
    </xf>
    <xf numFmtId="164" fontId="64" fillId="3" borderId="8" xfId="0" applyNumberFormat="1" applyFont="1" applyFill="1" applyBorder="1" applyAlignment="1">
      <alignment horizontal="right" vertical="center"/>
    </xf>
    <xf numFmtId="166" fontId="11" fillId="0" borderId="0" xfId="0" applyNumberFormat="1" applyFont="1" applyFill="1" applyAlignment="1">
      <alignment horizontal="right" wrapText="1" indent="1"/>
    </xf>
    <xf numFmtId="165" fontId="8" fillId="0" borderId="0" xfId="0" applyNumberFormat="1" applyFont="1" applyFill="1" applyAlignment="1">
      <alignment horizontal="right" wrapText="1" indent="1"/>
    </xf>
    <xf numFmtId="3" fontId="8" fillId="0" borderId="0" xfId="0" applyNumberFormat="1" applyFont="1" applyFill="1" applyAlignment="1">
      <alignment horizontal="right" wrapText="1" indent="1"/>
    </xf>
    <xf numFmtId="165" fontId="8" fillId="37" borderId="0" xfId="0" applyNumberFormat="1" applyFont="1" applyFill="1" applyAlignment="1">
      <alignment horizontal="right" wrapText="1" indent="1"/>
    </xf>
    <xf numFmtId="165" fontId="11" fillId="37" borderId="0" xfId="0" applyNumberFormat="1" applyFont="1" applyFill="1" applyAlignment="1">
      <alignment horizontal="right" wrapText="1" indent="1"/>
    </xf>
    <xf numFmtId="167" fontId="8" fillId="37" borderId="0" xfId="0" applyNumberFormat="1" applyFont="1" applyFill="1" applyAlignment="1">
      <alignment horizontal="right" wrapText="1" indent="1"/>
    </xf>
    <xf numFmtId="167" fontId="11" fillId="37" borderId="0" xfId="0" applyNumberFormat="1" applyFont="1" applyFill="1" applyAlignment="1">
      <alignment horizontal="right" wrapText="1" indent="1"/>
    </xf>
    <xf numFmtId="165" fontId="8" fillId="0" borderId="8" xfId="0" applyNumberFormat="1" applyFont="1" applyFill="1" applyBorder="1" applyAlignment="1">
      <alignment horizontal="right" wrapText="1" indent="1"/>
    </xf>
    <xf numFmtId="3" fontId="11" fillId="0" borderId="88" xfId="2" applyNumberFormat="1" applyFont="1" applyFill="1" applyBorder="1" applyAlignment="1">
      <alignment horizontal="right" vertical="center" wrapText="1" indent="1" readingOrder="1"/>
    </xf>
    <xf numFmtId="166" fontId="11" fillId="0" borderId="88" xfId="2" applyNumberFormat="1" applyFont="1" applyFill="1" applyBorder="1" applyAlignment="1">
      <alignment horizontal="right" vertical="center" wrapText="1" indent="1" readingOrder="1"/>
    </xf>
    <xf numFmtId="166" fontId="11" fillId="0" borderId="0" xfId="2" applyNumberFormat="1" applyFont="1" applyFill="1" applyAlignment="1">
      <alignment horizontal="right" vertical="center" wrapText="1" indent="1" readingOrder="1"/>
    </xf>
    <xf numFmtId="3" fontId="11" fillId="0" borderId="87" xfId="2" applyNumberFormat="1" applyFont="1" applyFill="1" applyBorder="1" applyAlignment="1">
      <alignment horizontal="right" vertical="center" wrapText="1" indent="1" readingOrder="1"/>
    </xf>
    <xf numFmtId="0" fontId="11" fillId="0" borderId="9" xfId="2" applyFont="1" applyFill="1" applyBorder="1" applyAlignment="1">
      <alignment horizontal="left" vertical="center" wrapText="1" readingOrder="1"/>
    </xf>
    <xf numFmtId="165" fontId="8" fillId="0" borderId="60" xfId="0" applyNumberFormat="1" applyFont="1" applyFill="1" applyBorder="1" applyAlignment="1">
      <alignment horizontal="right" wrapText="1" indent="1"/>
    </xf>
    <xf numFmtId="165" fontId="11" fillId="0" borderId="5" xfId="0" applyNumberFormat="1" applyFont="1" applyFill="1" applyBorder="1" applyAlignment="1">
      <alignment horizontal="right"/>
    </xf>
    <xf numFmtId="3" fontId="8" fillId="0" borderId="6" xfId="2" applyNumberFormat="1" applyFont="1" applyFill="1" applyBorder="1" applyAlignment="1">
      <alignment horizontal="right" vertical="center" readingOrder="1"/>
    </xf>
    <xf numFmtId="165" fontId="11" fillId="0" borderId="0" xfId="0" applyNumberFormat="1" applyFont="1" applyFill="1" applyAlignment="1">
      <alignment horizontal="right"/>
    </xf>
    <xf numFmtId="164" fontId="11" fillId="0" borderId="0" xfId="0" applyNumberFormat="1" applyFont="1" applyFill="1" applyAlignment="1">
      <alignment horizontal="right"/>
    </xf>
    <xf numFmtId="0" fontId="7" fillId="0" borderId="88" xfId="2" applyFont="1" applyFill="1" applyBorder="1" applyAlignment="1">
      <alignment horizontal="left" vertical="center" readingOrder="1"/>
    </xf>
    <xf numFmtId="0" fontId="12" fillId="0" borderId="0" xfId="2" applyFont="1" applyFill="1" applyAlignment="1">
      <alignment horizontal="left" vertical="center" wrapText="1" indent="3" readingOrder="1"/>
    </xf>
    <xf numFmtId="0" fontId="12" fillId="0" borderId="0" xfId="2" applyFont="1" applyBorder="1" applyAlignment="1">
      <alignment horizontal="left" vertical="center" indent="3" readingOrder="1"/>
    </xf>
    <xf numFmtId="0" fontId="7" fillId="0" borderId="0" xfId="2" applyFont="1" applyBorder="1" applyAlignment="1">
      <alignment horizontal="left" vertical="center" readingOrder="1"/>
    </xf>
    <xf numFmtId="0" fontId="12" fillId="0" borderId="0" xfId="2" quotePrefix="1" applyFont="1" applyBorder="1" applyAlignment="1">
      <alignment horizontal="left" vertical="center" indent="3" readingOrder="1"/>
    </xf>
    <xf numFmtId="0" fontId="0" fillId="0" borderId="0" xfId="0" applyBorder="1"/>
    <xf numFmtId="0" fontId="50" fillId="29" borderId="78" xfId="0" applyFont="1" applyFill="1" applyBorder="1" applyAlignment="1">
      <alignment horizontal="left"/>
    </xf>
    <xf numFmtId="0" fontId="50" fillId="29" borderId="79" xfId="0" applyFont="1" applyFill="1" applyBorder="1" applyAlignment="1">
      <alignment horizontal="left"/>
    </xf>
    <xf numFmtId="0" fontId="50" fillId="29" borderId="80" xfId="0" applyFont="1" applyFill="1" applyBorder="1" applyAlignment="1">
      <alignment horizontal="left"/>
    </xf>
    <xf numFmtId="0" fontId="49" fillId="0" borderId="78" xfId="0" applyFont="1" applyBorder="1" applyAlignment="1">
      <alignment horizontal="left"/>
    </xf>
    <xf numFmtId="0" fontId="49" fillId="0" borderId="79" xfId="0" applyFont="1" applyBorder="1" applyAlignment="1">
      <alignment horizontal="left"/>
    </xf>
    <xf numFmtId="0" fontId="49" fillId="0" borderId="80" xfId="0" applyFont="1" applyBorder="1" applyAlignment="1">
      <alignment horizontal="left"/>
    </xf>
    <xf numFmtId="168" fontId="11" fillId="0" borderId="0" xfId="0" applyNumberFormat="1" applyFont="1" applyFill="1" applyAlignment="1">
      <alignment horizontal="right" wrapText="1" indent="1"/>
    </xf>
    <xf numFmtId="3" fontId="11" fillId="0" borderId="0" xfId="0" applyNumberFormat="1" applyFont="1" applyFill="1" applyAlignment="1">
      <alignment horizontal="right" wrapText="1" indent="1"/>
    </xf>
    <xf numFmtId="0" fontId="7" fillId="0" borderId="73" xfId="2" applyFont="1" applyBorder="1" applyAlignment="1">
      <alignment horizontal="left" vertical="center" readingOrder="1"/>
    </xf>
    <xf numFmtId="0" fontId="65" fillId="0" borderId="0" xfId="0" applyFont="1"/>
    <xf numFmtId="0" fontId="66" fillId="0" borderId="0" xfId="2" applyFont="1" applyAlignment="1">
      <alignment horizontal="left" vertical="center" readingOrder="1"/>
    </xf>
    <xf numFmtId="0" fontId="58" fillId="0" borderId="0" xfId="2" applyFont="1" applyFill="1" applyAlignment="1">
      <alignment horizontal="left" vertical="center" readingOrder="1"/>
    </xf>
    <xf numFmtId="3" fontId="67" fillId="3" borderId="0" xfId="0" applyNumberFormat="1" applyFont="1" applyFill="1" applyAlignment="1">
      <alignment horizontal="right" wrapText="1" indent="1"/>
    </xf>
    <xf numFmtId="0" fontId="49" fillId="0" borderId="78" xfId="0" applyFont="1" applyBorder="1" applyAlignment="1">
      <alignment horizontal="left"/>
    </xf>
    <xf numFmtId="0" fontId="49" fillId="0" borderId="79" xfId="0" applyFont="1" applyBorder="1" applyAlignment="1">
      <alignment horizontal="left"/>
    </xf>
    <xf numFmtId="0" fontId="49" fillId="0" borderId="80" xfId="0" applyFont="1" applyBorder="1" applyAlignment="1">
      <alignment horizontal="left"/>
    </xf>
    <xf numFmtId="165" fontId="8" fillId="0" borderId="0" xfId="0" applyNumberFormat="1" applyFont="1" applyBorder="1" applyAlignment="1">
      <alignment horizontal="right" wrapText="1" indent="1"/>
    </xf>
    <xf numFmtId="9" fontId="11" fillId="0" borderId="0" xfId="0" applyNumberFormat="1" applyFont="1" applyFill="1" applyAlignment="1">
      <alignment horizontal="right" wrapText="1" indent="1"/>
    </xf>
    <xf numFmtId="0" fontId="5" fillId="0" borderId="0" xfId="2" applyFont="1" applyFill="1" applyBorder="1" applyAlignment="1">
      <alignment horizontal="center" vertical="center" wrapText="1" readingOrder="1"/>
    </xf>
    <xf numFmtId="0" fontId="6" fillId="0" borderId="0" xfId="2" applyFont="1" applyFill="1" applyBorder="1" applyAlignment="1">
      <alignment horizontal="center" vertical="center" wrapText="1" readingOrder="1"/>
    </xf>
    <xf numFmtId="3" fontId="8" fillId="0" borderId="0" xfId="2" applyNumberFormat="1" applyFont="1" applyFill="1" applyBorder="1" applyAlignment="1">
      <alignment horizontal="right" vertical="center" wrapText="1" indent="1" readingOrder="1"/>
    </xf>
    <xf numFmtId="168" fontId="11" fillId="4" borderId="0" xfId="0" applyNumberFormat="1" applyFont="1" applyFill="1" applyAlignment="1">
      <alignment horizontal="right" wrapText="1" indent="1"/>
    </xf>
    <xf numFmtId="166" fontId="11" fillId="0" borderId="98" xfId="0" applyNumberFormat="1" applyFont="1" applyFill="1" applyBorder="1" applyAlignment="1">
      <alignment horizontal="right" wrapText="1" indent="1"/>
    </xf>
    <xf numFmtId="168" fontId="11" fillId="4" borderId="95" xfId="0" applyNumberFormat="1" applyFont="1" applyFill="1" applyBorder="1" applyAlignment="1">
      <alignment horizontal="right" wrapText="1" indent="1"/>
    </xf>
    <xf numFmtId="168" fontId="11" fillId="0" borderId="99" xfId="0" applyNumberFormat="1" applyFont="1" applyBorder="1" applyAlignment="1">
      <alignment horizontal="right" wrapText="1" indent="1"/>
    </xf>
    <xf numFmtId="168" fontId="11" fillId="4" borderId="97" xfId="0" applyNumberFormat="1" applyFont="1" applyFill="1" applyBorder="1" applyAlignment="1">
      <alignment horizontal="right" wrapText="1" indent="1"/>
    </xf>
    <xf numFmtId="3" fontId="11" fillId="0" borderId="99" xfId="0" applyNumberFormat="1" applyFont="1" applyBorder="1" applyAlignment="1">
      <alignment horizontal="right" wrapText="1" indent="1"/>
    </xf>
    <xf numFmtId="0" fontId="22" fillId="0" borderId="0" xfId="5" applyFont="1" applyFill="1"/>
    <xf numFmtId="0" fontId="15" fillId="0" borderId="0" xfId="2" applyFont="1" applyFill="1" applyAlignment="1">
      <alignment horizontal="left" vertical="center" wrapText="1" readingOrder="1"/>
    </xf>
    <xf numFmtId="165" fontId="8" fillId="0" borderId="88" xfId="0" applyNumberFormat="1" applyFont="1" applyFill="1" applyBorder="1" applyAlignment="1">
      <alignment horizontal="right" wrapText="1" indent="1"/>
    </xf>
    <xf numFmtId="165" fontId="10" fillId="0" borderId="0" xfId="0" applyNumberFormat="1" applyFont="1" applyFill="1" applyAlignment="1">
      <alignment horizontal="right" wrapText="1" indent="1"/>
    </xf>
    <xf numFmtId="165" fontId="8" fillId="0" borderId="67" xfId="0" applyNumberFormat="1" applyFont="1" applyFill="1" applyBorder="1" applyAlignment="1">
      <alignment horizontal="right" wrapText="1" indent="1"/>
    </xf>
    <xf numFmtId="165" fontId="8" fillId="0" borderId="74" xfId="0" applyNumberFormat="1" applyFont="1" applyFill="1" applyBorder="1" applyAlignment="1">
      <alignment horizontal="right" wrapText="1" indent="1"/>
    </xf>
    <xf numFmtId="0" fontId="50" fillId="29" borderId="78" xfId="0" applyFont="1" applyFill="1" applyBorder="1" applyAlignment="1">
      <alignment horizontal="left"/>
    </xf>
    <xf numFmtId="0" fontId="50" fillId="29" borderId="79" xfId="0" applyFont="1" applyFill="1" applyBorder="1" applyAlignment="1">
      <alignment horizontal="left"/>
    </xf>
    <xf numFmtId="0" fontId="50" fillId="29" borderId="80" xfId="0" applyFont="1" applyFill="1" applyBorder="1" applyAlignment="1">
      <alignment horizontal="left"/>
    </xf>
    <xf numFmtId="0" fontId="49" fillId="0" borderId="78" xfId="0" applyFont="1" applyBorder="1" applyAlignment="1">
      <alignment horizontal="left"/>
    </xf>
    <xf numFmtId="0" fontId="49" fillId="0" borderId="79" xfId="0" applyFont="1" applyBorder="1" applyAlignment="1">
      <alignment horizontal="left"/>
    </xf>
    <xf numFmtId="0" fontId="49" fillId="0" borderId="80" xfId="0" applyFont="1" applyBorder="1" applyAlignment="1">
      <alignment horizontal="left"/>
    </xf>
    <xf numFmtId="165" fontId="8" fillId="0" borderId="76" xfId="0" applyNumberFormat="1" applyFont="1" applyFill="1" applyBorder="1" applyAlignment="1">
      <alignment horizontal="right" wrapText="1" indent="1"/>
    </xf>
    <xf numFmtId="165" fontId="47" fillId="0" borderId="100" xfId="0" applyNumberFormat="1" applyFont="1" applyBorder="1" applyAlignment="1">
      <alignment horizontal="right" wrapText="1" indent="1"/>
    </xf>
    <xf numFmtId="170" fontId="8" fillId="0" borderId="6" xfId="46" applyNumberFormat="1" applyFont="1" applyFill="1" applyBorder="1" applyAlignment="1">
      <alignment horizontal="right" vertical="center" wrapText="1" indent="1" readingOrder="1"/>
    </xf>
    <xf numFmtId="165" fontId="8" fillId="0" borderId="6" xfId="0" applyNumberFormat="1" applyFont="1" applyFill="1" applyBorder="1" applyAlignment="1">
      <alignment horizontal="right" wrapText="1" indent="1"/>
    </xf>
    <xf numFmtId="166" fontId="11" fillId="0" borderId="87" xfId="2" applyNumberFormat="1" applyFont="1" applyFill="1" applyBorder="1" applyAlignment="1">
      <alignment horizontal="right" vertical="center" wrapText="1" indent="1" readingOrder="1"/>
    </xf>
    <xf numFmtId="9" fontId="11" fillId="0" borderId="96" xfId="0" applyNumberFormat="1" applyFont="1" applyFill="1" applyBorder="1" applyAlignment="1">
      <alignment horizontal="right" wrapText="1" indent="1"/>
    </xf>
    <xf numFmtId="165" fontId="11" fillId="0" borderId="87" xfId="0" applyNumberFormat="1" applyFont="1" applyFill="1" applyBorder="1" applyAlignment="1">
      <alignment horizontal="right" wrapText="1" indent="1"/>
    </xf>
    <xf numFmtId="165" fontId="11" fillId="0" borderId="88" xfId="0" applyNumberFormat="1" applyFont="1" applyFill="1" applyBorder="1" applyAlignment="1">
      <alignment horizontal="right" wrapText="1" indent="1"/>
    </xf>
    <xf numFmtId="0" fontId="12" fillId="0" borderId="0" xfId="2" applyFont="1" applyFill="1" applyAlignment="1">
      <alignment horizontal="left" vertical="center" readingOrder="1"/>
    </xf>
    <xf numFmtId="165" fontId="11" fillId="0" borderId="74" xfId="0" applyNumberFormat="1" applyFont="1" applyFill="1" applyBorder="1" applyAlignment="1">
      <alignment horizontal="right" wrapText="1" indent="1"/>
    </xf>
    <xf numFmtId="0" fontId="46" fillId="0" borderId="0" xfId="0" applyFont="1" applyFill="1"/>
    <xf numFmtId="165" fontId="11" fillId="30" borderId="0" xfId="2" applyNumberFormat="1" applyFont="1" applyFill="1" applyAlignment="1">
      <alignment horizontal="right" vertical="center" wrapText="1" indent="1" readingOrder="1"/>
    </xf>
    <xf numFmtId="165" fontId="8" fillId="30" borderId="8" xfId="2" applyNumberFormat="1" applyFont="1" applyFill="1" applyBorder="1" applyAlignment="1">
      <alignment horizontal="right" vertical="center" wrapText="1" indent="1" readingOrder="1"/>
    </xf>
    <xf numFmtId="3" fontId="8" fillId="30" borderId="52" xfId="2" applyNumberFormat="1" applyFont="1" applyFill="1" applyBorder="1" applyAlignment="1">
      <alignment horizontal="right" vertical="center" wrapText="1" indent="1" readingOrder="1"/>
    </xf>
    <xf numFmtId="0" fontId="0" fillId="0" borderId="52" xfId="0" applyBorder="1"/>
    <xf numFmtId="0" fontId="5" fillId="2" borderId="101" xfId="2" applyFont="1" applyFill="1" applyBorder="1" applyAlignment="1">
      <alignment horizontal="center" vertical="center" wrapText="1" readingOrder="1"/>
    </xf>
    <xf numFmtId="0" fontId="7" fillId="0" borderId="102" xfId="2" applyFont="1" applyBorder="1" applyAlignment="1">
      <alignment horizontal="left" vertical="center" readingOrder="1"/>
    </xf>
    <xf numFmtId="0" fontId="7" fillId="0" borderId="103" xfId="2" applyFont="1" applyBorder="1" applyAlignment="1">
      <alignment horizontal="left" vertical="center" readingOrder="1"/>
    </xf>
    <xf numFmtId="165" fontId="8" fillId="0" borderId="104" xfId="0" applyNumberFormat="1" applyFont="1" applyBorder="1" applyAlignment="1">
      <alignment horizontal="right" wrapText="1" indent="1"/>
    </xf>
    <xf numFmtId="165" fontId="8" fillId="0" borderId="105" xfId="0" applyNumberFormat="1" applyFont="1" applyBorder="1" applyAlignment="1">
      <alignment horizontal="right" wrapText="1" indent="1"/>
    </xf>
    <xf numFmtId="0" fontId="0" fillId="0" borderId="106" xfId="0" applyBorder="1"/>
    <xf numFmtId="165" fontId="8" fillId="0" borderId="108" xfId="0" applyNumberFormat="1" applyFont="1" applyFill="1" applyBorder="1" applyAlignment="1">
      <alignment horizontal="right" wrapText="1" indent="1"/>
    </xf>
    <xf numFmtId="165" fontId="68" fillId="0" borderId="109" xfId="0" applyNumberFormat="1" applyFont="1" applyBorder="1" applyAlignment="1">
      <alignment horizontal="right" wrapText="1" indent="1"/>
    </xf>
    <xf numFmtId="166" fontId="0" fillId="0" borderId="0" xfId="0" applyNumberFormat="1"/>
    <xf numFmtId="0" fontId="45" fillId="4" borderId="0" xfId="5" quotePrefix="1" applyFont="1" applyFill="1" applyBorder="1" applyAlignment="1">
      <alignment horizontal="left"/>
    </xf>
    <xf numFmtId="0" fontId="45" fillId="4" borderId="14" xfId="5" quotePrefix="1" applyFont="1" applyFill="1" applyBorder="1" applyAlignment="1">
      <alignment horizontal="left"/>
    </xf>
    <xf numFmtId="0" fontId="43" fillId="4" borderId="13" xfId="0" applyFont="1" applyFill="1" applyBorder="1" applyAlignment="1">
      <alignment horizontal="center"/>
    </xf>
    <xf numFmtId="0" fontId="43" fillId="4" borderId="0" xfId="0" applyFont="1" applyFill="1" applyAlignment="1">
      <alignment horizontal="center"/>
    </xf>
    <xf numFmtId="0" fontId="43" fillId="4" borderId="14" xfId="0" applyFont="1" applyFill="1" applyBorder="1" applyAlignment="1">
      <alignment horizontal="center"/>
    </xf>
    <xf numFmtId="0" fontId="45" fillId="4" borderId="0" xfId="5" quotePrefix="1" applyFont="1" applyFill="1" applyBorder="1" applyAlignment="1"/>
    <xf numFmtId="0" fontId="32" fillId="2" borderId="54" xfId="3" applyFont="1" applyFill="1" applyBorder="1" applyAlignment="1">
      <alignment horizontal="left" vertical="center" readingOrder="1"/>
    </xf>
    <xf numFmtId="0" fontId="32" fillId="2" borderId="63" xfId="3" applyFont="1" applyFill="1" applyBorder="1" applyAlignment="1">
      <alignment horizontal="left" vertical="center" readingOrder="1"/>
    </xf>
    <xf numFmtId="0" fontId="5" fillId="2" borderId="54" xfId="3" applyFont="1" applyFill="1" applyBorder="1" applyAlignment="1">
      <alignment horizontal="center" vertical="center" wrapText="1" readingOrder="1"/>
    </xf>
    <xf numFmtId="0" fontId="5" fillId="2" borderId="63" xfId="3" applyFont="1" applyFill="1" applyBorder="1" applyAlignment="1">
      <alignment horizontal="center" vertical="center" wrapText="1" readingOrder="1"/>
    </xf>
    <xf numFmtId="0" fontId="32" fillId="2" borderId="1" xfId="2" applyFont="1" applyFill="1" applyBorder="1" applyAlignment="1">
      <alignment horizontal="left" vertical="center" readingOrder="1"/>
    </xf>
    <xf numFmtId="0" fontId="32" fillId="2" borderId="3" xfId="2" applyFont="1" applyFill="1" applyBorder="1" applyAlignment="1">
      <alignment horizontal="left" vertical="center" readingOrder="1"/>
    </xf>
    <xf numFmtId="0" fontId="32" fillId="2" borderId="1" xfId="2" applyFont="1" applyFill="1" applyBorder="1" applyAlignment="1">
      <alignment horizontal="left" vertical="center" wrapText="1" readingOrder="1"/>
    </xf>
    <xf numFmtId="0" fontId="32" fillId="2" borderId="3" xfId="2" applyFont="1" applyFill="1" applyBorder="1" applyAlignment="1">
      <alignment horizontal="left" vertical="center" wrapText="1" readingOrder="1"/>
    </xf>
    <xf numFmtId="0" fontId="32" fillId="2" borderId="1" xfId="2" applyFont="1" applyFill="1" applyBorder="1" applyAlignment="1">
      <alignment horizontal="center" vertical="center" wrapText="1" readingOrder="1"/>
    </xf>
    <xf numFmtId="0" fontId="32" fillId="2" borderId="3" xfId="2" applyFont="1" applyFill="1" applyBorder="1" applyAlignment="1">
      <alignment horizontal="center" vertical="center" wrapText="1" readingOrder="1"/>
    </xf>
    <xf numFmtId="0" fontId="32" fillId="2" borderId="54" xfId="2" applyFont="1" applyFill="1" applyBorder="1" applyAlignment="1">
      <alignment horizontal="left" vertical="center" readingOrder="1"/>
    </xf>
    <xf numFmtId="0" fontId="32" fillId="2" borderId="94" xfId="2" applyFont="1" applyFill="1" applyBorder="1" applyAlignment="1">
      <alignment horizontal="left" vertical="center" readingOrder="1"/>
    </xf>
    <xf numFmtId="0" fontId="69" fillId="2" borderId="107" xfId="0" applyFont="1" applyFill="1" applyBorder="1" applyAlignment="1">
      <alignment horizontal="left"/>
    </xf>
    <xf numFmtId="0" fontId="50" fillId="29" borderId="78" xfId="0" applyFont="1" applyFill="1" applyBorder="1" applyAlignment="1">
      <alignment horizontal="left"/>
    </xf>
    <xf numFmtId="0" fontId="50" fillId="29" borderId="79" xfId="0" applyFont="1" applyFill="1" applyBorder="1" applyAlignment="1">
      <alignment horizontal="left"/>
    </xf>
    <xf numFmtId="0" fontId="50" fillId="29" borderId="80" xfId="0" applyFont="1" applyFill="1" applyBorder="1" applyAlignment="1">
      <alignment horizontal="left"/>
    </xf>
    <xf numFmtId="0" fontId="49" fillId="0" borderId="78" xfId="0" applyFont="1" applyBorder="1" applyAlignment="1">
      <alignment horizontal="left"/>
    </xf>
    <xf numFmtId="0" fontId="49" fillId="0" borderId="79" xfId="0" applyFont="1" applyBorder="1" applyAlignment="1">
      <alignment horizontal="left"/>
    </xf>
    <xf numFmtId="0" fontId="49" fillId="0" borderId="80" xfId="0" applyFont="1" applyBorder="1" applyAlignment="1">
      <alignment horizontal="left"/>
    </xf>
    <xf numFmtId="0" fontId="4" fillId="2" borderId="1" xfId="2" applyFont="1" applyFill="1" applyBorder="1" applyAlignment="1">
      <alignment horizontal="center" vertical="center" readingOrder="1"/>
    </xf>
    <xf numFmtId="0" fontId="4" fillId="2" borderId="3" xfId="2" applyFont="1" applyFill="1" applyBorder="1" applyAlignment="1">
      <alignment horizontal="center" vertical="center" readingOrder="1"/>
    </xf>
    <xf numFmtId="0" fontId="32" fillId="2" borderId="54" xfId="2" applyFont="1" applyFill="1" applyBorder="1" applyAlignment="1">
      <alignment horizontal="center" vertical="center" readingOrder="1"/>
    </xf>
    <xf numFmtId="0" fontId="32" fillId="2" borderId="85" xfId="2" applyFont="1" applyFill="1" applyBorder="1" applyAlignment="1">
      <alignment horizontal="center" vertical="center" readingOrder="1"/>
    </xf>
    <xf numFmtId="0" fontId="5" fillId="31" borderId="55" xfId="2" applyFont="1" applyFill="1" applyBorder="1" applyAlignment="1">
      <alignment horizontal="center" vertical="center" wrapText="1" readingOrder="1"/>
    </xf>
    <xf numFmtId="0" fontId="5" fillId="31" borderId="56" xfId="2" applyFont="1" applyFill="1" applyBorder="1" applyAlignment="1">
      <alignment horizontal="center" vertical="center" wrapText="1" readingOrder="1"/>
    </xf>
    <xf numFmtId="0" fontId="5" fillId="31" borderId="61" xfId="2" applyFont="1" applyFill="1" applyBorder="1" applyAlignment="1">
      <alignment horizontal="center" vertical="center" wrapText="1" readingOrder="1"/>
    </xf>
    <xf numFmtId="0" fontId="5" fillId="31" borderId="62" xfId="2" applyFont="1" applyFill="1" applyBorder="1" applyAlignment="1">
      <alignment horizontal="center" vertical="center" wrapText="1" readingOrder="1"/>
    </xf>
    <xf numFmtId="0" fontId="32" fillId="31" borderId="54" xfId="3" applyFont="1" applyFill="1" applyBorder="1" applyAlignment="1">
      <alignment horizontal="left" vertical="center" wrapText="1" readingOrder="1"/>
    </xf>
    <xf numFmtId="0" fontId="32" fillId="31" borderId="94" xfId="3" applyFont="1" applyFill="1" applyBorder="1" applyAlignment="1">
      <alignment horizontal="left" vertical="center" wrapText="1" readingOrder="1"/>
    </xf>
    <xf numFmtId="0" fontId="32" fillId="31" borderId="64" xfId="3" applyFont="1" applyFill="1" applyBorder="1" applyAlignment="1">
      <alignment horizontal="left" vertical="center" wrapText="1" readingOrder="1"/>
    </xf>
    <xf numFmtId="0" fontId="32" fillId="31" borderId="0" xfId="3" applyFont="1" applyFill="1" applyAlignment="1">
      <alignment horizontal="left" vertical="center" wrapText="1" readingOrder="1"/>
    </xf>
    <xf numFmtId="0" fontId="32" fillId="31" borderId="0" xfId="3" applyFont="1" applyFill="1" applyAlignment="1">
      <alignment horizontal="left" vertical="center" readingOrder="1"/>
    </xf>
    <xf numFmtId="0" fontId="32" fillId="31" borderId="64" xfId="3" applyFont="1" applyFill="1" applyBorder="1" applyAlignment="1">
      <alignment horizontal="left" vertical="center" readingOrder="1"/>
    </xf>
    <xf numFmtId="0" fontId="32" fillId="2" borderId="64" xfId="2" applyFont="1" applyFill="1" applyBorder="1" applyAlignment="1">
      <alignment horizontal="left" vertical="center" readingOrder="1"/>
    </xf>
    <xf numFmtId="0" fontId="32" fillId="2" borderId="59" xfId="2" applyFont="1" applyFill="1" applyBorder="1" applyAlignment="1">
      <alignment horizontal="left" vertical="center" readingOrder="1"/>
    </xf>
    <xf numFmtId="0" fontId="32" fillId="2" borderId="65" xfId="3" applyFont="1" applyFill="1" applyBorder="1" applyAlignment="1">
      <alignment horizontal="left" vertical="center" wrapText="1" readingOrder="1"/>
    </xf>
    <xf numFmtId="0" fontId="32" fillId="2" borderId="64" xfId="3" applyFont="1" applyFill="1" applyBorder="1" applyAlignment="1">
      <alignment horizontal="left" vertical="center" wrapText="1" readingOrder="1"/>
    </xf>
    <xf numFmtId="0" fontId="32" fillId="2" borderId="57" xfId="3" applyFont="1" applyFill="1" applyBorder="1" applyAlignment="1">
      <alignment vertical="center" wrapText="1" readingOrder="1"/>
    </xf>
    <xf numFmtId="0" fontId="32" fillId="2" borderId="64" xfId="3" applyFont="1" applyFill="1" applyBorder="1" applyAlignment="1">
      <alignment vertical="center" wrapText="1" readingOrder="1"/>
    </xf>
    <xf numFmtId="0" fontId="32" fillId="2" borderId="65" xfId="3" applyFont="1" applyFill="1" applyBorder="1" applyAlignment="1">
      <alignment horizontal="left" vertical="center" readingOrder="1"/>
    </xf>
    <xf numFmtId="0" fontId="32" fillId="2" borderId="64" xfId="3" applyFont="1" applyFill="1" applyBorder="1" applyAlignment="1">
      <alignment horizontal="left" vertical="center" readingOrder="1"/>
    </xf>
    <xf numFmtId="0" fontId="32" fillId="29" borderId="61" xfId="3" applyFont="1" applyFill="1" applyBorder="1" applyAlignment="1">
      <alignment vertical="center" readingOrder="1"/>
    </xf>
    <xf numFmtId="0" fontId="32" fillId="29" borderId="62" xfId="3" applyFont="1" applyFill="1" applyBorder="1" applyAlignment="1">
      <alignment vertical="center" readingOrder="1"/>
    </xf>
    <xf numFmtId="0" fontId="5" fillId="2" borderId="55" xfId="2" applyFont="1" applyFill="1" applyBorder="1" applyAlignment="1">
      <alignment horizontal="center" vertical="center" readingOrder="1"/>
    </xf>
    <xf numFmtId="0" fontId="5" fillId="2" borderId="56" xfId="2" applyFont="1" applyFill="1" applyBorder="1" applyAlignment="1">
      <alignment horizontal="center" vertical="center" readingOrder="1"/>
    </xf>
    <xf numFmtId="0" fontId="24" fillId="0" borderId="48" xfId="0" applyFont="1" applyBorder="1" applyAlignment="1">
      <alignment horizontal="left" vertical="center" wrapText="1" readingOrder="1"/>
    </xf>
    <xf numFmtId="0" fontId="24" fillId="0" borderId="49" xfId="0" applyFont="1" applyBorder="1" applyAlignment="1">
      <alignment horizontal="left" vertical="center" wrapText="1" readingOrder="1"/>
    </xf>
    <xf numFmtId="0" fontId="30" fillId="0" borderId="44" xfId="0" applyFont="1" applyBorder="1" applyAlignment="1">
      <alignment horizontal="center" vertical="top" readingOrder="1"/>
    </xf>
    <xf numFmtId="0" fontId="31" fillId="0" borderId="18" xfId="0" applyFont="1" applyBorder="1" applyAlignment="1">
      <alignment horizontal="left" vertical="center" wrapText="1" readingOrder="1"/>
    </xf>
    <xf numFmtId="0" fontId="31" fillId="0" borderId="19" xfId="0" applyFont="1" applyBorder="1" applyAlignment="1">
      <alignment horizontal="left" vertical="center" wrapText="1" readingOrder="1"/>
    </xf>
    <xf numFmtId="0" fontId="24" fillId="0" borderId="20" xfId="0" applyFont="1" applyBorder="1" applyAlignment="1">
      <alignment horizontal="left" vertical="center" wrapText="1" readingOrder="1"/>
    </xf>
    <xf numFmtId="0" fontId="24" fillId="0" borderId="21" xfId="0" applyFont="1" applyBorder="1" applyAlignment="1">
      <alignment horizontal="left" vertical="center" wrapText="1" readingOrder="1"/>
    </xf>
    <xf numFmtId="0" fontId="24" fillId="5" borderId="19" xfId="0" applyFont="1" applyFill="1" applyBorder="1" applyAlignment="1">
      <alignment horizontal="center" vertical="center" wrapText="1" readingOrder="1"/>
    </xf>
    <xf numFmtId="0" fontId="51" fillId="29" borderId="84" xfId="5" applyFont="1" applyFill="1" applyBorder="1" applyAlignment="1">
      <alignment horizontal="left" vertical="center"/>
    </xf>
    <xf numFmtId="0" fontId="12" fillId="0" borderId="0" xfId="2" applyFont="1" applyAlignment="1">
      <alignment horizontal="center" vertical="center" wrapText="1" readingOrder="1"/>
    </xf>
  </cellXfs>
  <cellStyles count="50">
    <cellStyle name="6. jelölőszín 2" xfId="48" xr:uid="{97AA34DF-2EAF-48C4-AFF2-53D1216DA417}"/>
    <cellStyle name="Ezres" xfId="46" builtinId="3"/>
    <cellStyle name="Ezres 2" xfId="49" xr:uid="{BCB2D8F4-CBB4-44AC-BDDF-C26CA0C5BEF8}"/>
    <cellStyle name="Hivatkozás" xfId="5" builtinId="8"/>
    <cellStyle name="Normál" xfId="0" builtinId="0"/>
    <cellStyle name="Normál 2" xfId="6" xr:uid="{6ADC40F5-5B08-4110-A7C9-72AA392D35C3}"/>
    <cellStyle name="Normál 2 2" xfId="4" xr:uid="{321131BC-0C37-4A85-9E50-5C25D3FE0E78}"/>
    <cellStyle name="Normál 3" xfId="3" xr:uid="{C46B108F-F9A2-4E73-AFEF-24A63F02D618}"/>
    <cellStyle name="Normál 3 2" xfId="2" xr:uid="{04ACBC5F-357F-4222-9616-EBB3C3B27189}"/>
    <cellStyle name="Normál 4" xfId="47" xr:uid="{315B6D47-9AA6-450D-AFE0-8CA5A88CFA58}"/>
    <cellStyle name="SAPBEXaggData" xfId="7" xr:uid="{32ACE624-880D-47D9-B56C-578C9E51C6B1}"/>
    <cellStyle name="SAPBEXaggDataEmph" xfId="8" xr:uid="{397609F4-AA09-4F06-AF08-983308DA7D23}"/>
    <cellStyle name="SAPBEXaggItem" xfId="9" xr:uid="{1E1AF564-7E27-4EB8-BDB6-DEA5D2F4BB61}"/>
    <cellStyle name="SAPBEXaggItemX" xfId="10" xr:uid="{25DA9009-B1DB-4A6C-8E69-CAC58B4568E3}"/>
    <cellStyle name="SAPBEXchaText" xfId="11" xr:uid="{986B2375-E613-48FF-AFC8-29BFEC898B3C}"/>
    <cellStyle name="SAPBEXexcBad7" xfId="12" xr:uid="{E6D7DF03-1EBD-465C-AF90-C011D5E27E0F}"/>
    <cellStyle name="SAPBEXexcBad8" xfId="13" xr:uid="{E023AB69-8833-4FEE-9A70-FE91F6057CD1}"/>
    <cellStyle name="SAPBEXexcBad9" xfId="14" xr:uid="{76D6046A-300C-4676-971F-17ABD3605447}"/>
    <cellStyle name="SAPBEXexcCritical4" xfId="15" xr:uid="{3A7218FA-AF74-4A44-BA2E-E828905CAF7B}"/>
    <cellStyle name="SAPBEXexcCritical5" xfId="16" xr:uid="{0B8C3657-F45E-405C-AAD0-37D800004ED8}"/>
    <cellStyle name="SAPBEXexcCritical6" xfId="17" xr:uid="{8ECB2335-39BC-4E72-A4F1-64C7273DB50B}"/>
    <cellStyle name="SAPBEXexcGood1" xfId="18" xr:uid="{9A8F790B-6966-47FF-82EE-505153427ADF}"/>
    <cellStyle name="SAPBEXexcGood2" xfId="19" xr:uid="{28FDBD26-7693-4F4C-B604-C5ACFA0B3CA1}"/>
    <cellStyle name="SAPBEXexcGood3" xfId="20" xr:uid="{85E3EB16-A83F-4EFB-B5BA-69414C67D529}"/>
    <cellStyle name="SAPBEXfilterDrill" xfId="21" xr:uid="{E1968EEF-B95A-4ADE-B49F-92C1DDB10BBF}"/>
    <cellStyle name="SAPBEXfilterItem" xfId="22" xr:uid="{CA4B5BFF-F539-4FA9-937D-359AD92483B9}"/>
    <cellStyle name="SAPBEXfilterText" xfId="23" xr:uid="{419F1D83-BADE-40AC-9AF1-8B677F6C2EBD}"/>
    <cellStyle name="SAPBEXformats" xfId="24" xr:uid="{FAF99E4C-0F3E-4800-85BE-5F5E98B3A156}"/>
    <cellStyle name="SAPBEXheaderItem" xfId="25" xr:uid="{71F98FD5-D60A-4FF1-98DC-B1BF865DD95F}"/>
    <cellStyle name="SAPBEXheaderText" xfId="26" xr:uid="{5FBD979C-7117-4B90-8FEF-F9FF66A6C1E7}"/>
    <cellStyle name="SAPBEXHLevel0" xfId="27" xr:uid="{57DBB0B8-6E97-4433-AD28-E61C0BA2AADE}"/>
    <cellStyle name="SAPBEXHLevel0X" xfId="28" xr:uid="{0D0E7372-9D72-4421-A4A6-3564357A9629}"/>
    <cellStyle name="SAPBEXHLevel1" xfId="29" xr:uid="{D4747A5E-4B7F-4899-BC7A-2546077A6565}"/>
    <cellStyle name="SAPBEXHLevel1X" xfId="30" xr:uid="{F7CD06D6-6859-4474-97A5-5D59FBC068A9}"/>
    <cellStyle name="SAPBEXHLevel2" xfId="31" xr:uid="{3E8D7ED3-753B-4872-A48C-723CBB1F1989}"/>
    <cellStyle name="SAPBEXHLevel2X" xfId="32" xr:uid="{84E7AB82-6709-4C72-8310-4EA9E51845D4}"/>
    <cellStyle name="SAPBEXHLevel3" xfId="33" xr:uid="{9EBCC6BF-DE0B-4836-B64D-EA8FFEEB8CD8}"/>
    <cellStyle name="SAPBEXHLevel3X" xfId="34" xr:uid="{B44CF758-DA6B-4215-AAD6-787B19279A25}"/>
    <cellStyle name="SAPBEXinputData" xfId="35" xr:uid="{94228191-A771-4BDB-8B09-FC6332A8622A}"/>
    <cellStyle name="SAPBEXresData" xfId="36" xr:uid="{72C165C3-A318-4E36-8987-880D15AACDB5}"/>
    <cellStyle name="SAPBEXresDataEmph" xfId="37" xr:uid="{72FB4CC4-7ABC-4F97-B673-33948D876E51}"/>
    <cellStyle name="SAPBEXresItem" xfId="38" xr:uid="{E1AF659E-D308-4B4F-A73D-70329FCA5A47}"/>
    <cellStyle name="SAPBEXresItemX" xfId="39" xr:uid="{29CEF73E-87AE-4B52-88ED-CAB10F1B38FA}"/>
    <cellStyle name="SAPBEXstdData" xfId="40" xr:uid="{9E9E98A5-E441-4C8C-BB55-0A4110784EB9}"/>
    <cellStyle name="SAPBEXstdDataEmph" xfId="41" xr:uid="{27D654D8-3DD8-45BF-8E19-0ADDF8893E5D}"/>
    <cellStyle name="SAPBEXstdItem" xfId="42" xr:uid="{4DE87969-F16D-4812-AA89-729C7A8A184B}"/>
    <cellStyle name="SAPBEXstdItemX" xfId="43" xr:uid="{352A6178-0237-45DE-9951-93DAC8321C61}"/>
    <cellStyle name="SAPBEXtitle" xfId="44" xr:uid="{B3990022-4294-43A5-98B3-D7190AE9FA50}"/>
    <cellStyle name="SAPBEXundefined" xfId="45" xr:uid="{E125638D-4344-4DAE-ACED-AF4E4D977E51}"/>
    <cellStyle name="Százalék"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3764"/>
      <color rgb="FFFFCCFF"/>
      <color rgb="FFCCFFCC"/>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WHC!A1"/><Relationship Id="rId2" Type="http://schemas.openxmlformats.org/officeDocument/2006/relationships/hyperlink" Target="#'Business Unit Information'!A1"/><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3" Type="http://schemas.openxmlformats.org/officeDocument/2006/relationships/hyperlink" Target="#BIO!A1"/><Relationship Id="rId2" Type="http://schemas.openxmlformats.org/officeDocument/2006/relationships/hyperlink" Target="#CNS!A1"/><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3" Type="http://schemas.openxmlformats.org/officeDocument/2006/relationships/hyperlink" Target="#WHC!A1"/><Relationship Id="rId2" Type="http://schemas.openxmlformats.org/officeDocument/2006/relationships/hyperlink" Target="#GM!A1"/><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hyperlink" Target="#BIO!A1"/><Relationship Id="rId2" Type="http://schemas.openxmlformats.org/officeDocument/2006/relationships/hyperlink" Target="#'Revenue Top10'!A1"/><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3" Type="http://schemas.openxmlformats.org/officeDocument/2006/relationships/hyperlink" Target="#GM!A1"/><Relationship Id="rId2" Type="http://schemas.openxmlformats.org/officeDocument/2006/relationships/hyperlink" Target="#'Shareholder structure'!A1"/><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3" Type="http://schemas.openxmlformats.org/officeDocument/2006/relationships/hyperlink" Target="#'BU description'!A1"/><Relationship Id="rId2" Type="http://schemas.openxmlformats.org/officeDocument/2006/relationships/hyperlink" Target="#'Revenue Top10'!A1"/><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3" Type="http://schemas.openxmlformats.org/officeDocument/2006/relationships/hyperlink" Target="#'FX rates '!A1"/><Relationship Id="rId2" Type="http://schemas.openxmlformats.org/officeDocument/2006/relationships/hyperlink" Target="#'Shareholder structure'!A1"/><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3" Type="http://schemas.openxmlformats.org/officeDocument/2006/relationships/hyperlink" Target="#Note!A1"/><Relationship Id="rId2" Type="http://schemas.openxmlformats.org/officeDocument/2006/relationships/hyperlink" Target="#'BU description'!A1"/><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hyperlink" Target="#'FX rates '!A1"/><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hyperlink" Target="#Note!A1"/><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hyperlink" Target="#'P&amp;L (HUF)'!A1"/><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P&amp;L (EUR)'!A1"/><Relationship Id="rId2" Type="http://schemas.openxmlformats.org/officeDocument/2006/relationships/hyperlink" Target="#'Financial Highlights'!A1"/><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3" Type="http://schemas.openxmlformats.org/officeDocument/2006/relationships/hyperlink" Target="#BS!A1"/><Relationship Id="rId2" Type="http://schemas.openxmlformats.org/officeDocument/2006/relationships/hyperlink" Target="#'P&amp;L (HUF)'!A1"/><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3" Type="http://schemas.openxmlformats.org/officeDocument/2006/relationships/hyperlink" Target="#'P&amp;L (EUR)'!A1"/><Relationship Id="rId2" Type="http://schemas.openxmlformats.org/officeDocument/2006/relationships/hyperlink" Target="#CF!A1"/><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3" Type="http://schemas.openxmlformats.org/officeDocument/2006/relationships/hyperlink" Target="#BS!A1"/><Relationship Id="rId2" Type="http://schemas.openxmlformats.org/officeDocument/2006/relationships/hyperlink" Target="#'Changes in Equity'!A1"/><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3" Type="http://schemas.openxmlformats.org/officeDocument/2006/relationships/hyperlink" Target="#CF!A1"/><Relationship Id="rId2" Type="http://schemas.openxmlformats.org/officeDocument/2006/relationships/hyperlink" Target="#'Fin. inc-exp (HUF, EUR)'!A1"/><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hyperlink" Target="#'Changes in Equity'!A1"/><Relationship Id="rId2" Type="http://schemas.openxmlformats.org/officeDocument/2006/relationships/hyperlink" Target="#'Business Unit Information'!A1"/><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3" Type="http://schemas.openxmlformats.org/officeDocument/2006/relationships/hyperlink" Target="#CNS!A1"/><Relationship Id="rId2" Type="http://schemas.openxmlformats.org/officeDocument/2006/relationships/hyperlink" Target="#'Fin. inc-exp (HUF, EUR)'!A1"/><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15128</xdr:colOff>
      <xdr:row>1</xdr:row>
      <xdr:rowOff>0</xdr:rowOff>
    </xdr:from>
    <xdr:to>
      <xdr:col>3</xdr:col>
      <xdr:colOff>564627</xdr:colOff>
      <xdr:row>2</xdr:row>
      <xdr:rowOff>57150</xdr:rowOff>
    </xdr:to>
    <xdr:pic>
      <xdr:nvPicPr>
        <xdr:cNvPr id="3" name="Ábra 2">
          <a:extLst>
            <a:ext uri="{FF2B5EF4-FFF2-40B4-BE49-F238E27FC236}">
              <a16:creationId xmlns:a16="http://schemas.microsoft.com/office/drawing/2014/main" id="{993A6C23-D800-49C6-BC9E-36C5CAC8F2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5128" y="182880"/>
          <a:ext cx="2381474" cy="3200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6" name="Téglalap: lekerekített 5">
          <a:hlinkClick xmlns:r="http://schemas.openxmlformats.org/officeDocument/2006/relationships" r:id="rId1"/>
          <a:extLst>
            <a:ext uri="{FF2B5EF4-FFF2-40B4-BE49-F238E27FC236}">
              <a16:creationId xmlns:a16="http://schemas.microsoft.com/office/drawing/2014/main" id="{CC675A57-546C-42B4-9EDA-4074FAD7C9B9}"/>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1074975</xdr:colOff>
      <xdr:row>0</xdr:row>
      <xdr:rowOff>37908</xdr:rowOff>
    </xdr:from>
    <xdr:to>
      <xdr:col>0</xdr:col>
      <xdr:colOff>2976562</xdr:colOff>
      <xdr:row>0</xdr:row>
      <xdr:rowOff>323659</xdr:rowOff>
    </xdr:to>
    <xdr:sp macro="" textlink="">
      <xdr:nvSpPr>
        <xdr:cNvPr id="7" name="Téglalap: lekerekített 6">
          <a:hlinkClick xmlns:r="http://schemas.openxmlformats.org/officeDocument/2006/relationships" r:id="rId2"/>
          <a:extLst>
            <a:ext uri="{FF2B5EF4-FFF2-40B4-BE49-F238E27FC236}">
              <a16:creationId xmlns:a16="http://schemas.microsoft.com/office/drawing/2014/main" id="{49D1BC2C-7022-47C5-86F9-A872C9A71667}"/>
            </a:ext>
          </a:extLst>
        </xdr:cNvPr>
        <xdr:cNvSpPr/>
      </xdr:nvSpPr>
      <xdr:spPr>
        <a:xfrm>
          <a:off x="1074975" y="37908"/>
          <a:ext cx="1901587"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Business Unit</a:t>
          </a:r>
          <a:r>
            <a:rPr lang="hu-HU" sz="1100" baseline="0"/>
            <a:t> Information</a:t>
          </a:r>
          <a:endParaRPr lang="hu-HU" sz="1100"/>
        </a:p>
      </xdr:txBody>
    </xdr:sp>
    <xdr:clientData/>
  </xdr:twoCellAnchor>
  <xdr:twoCellAnchor>
    <xdr:from>
      <xdr:col>1</xdr:col>
      <xdr:colOff>54456</xdr:colOff>
      <xdr:row>0</xdr:row>
      <xdr:rowOff>60285</xdr:rowOff>
    </xdr:from>
    <xdr:to>
      <xdr:col>1</xdr:col>
      <xdr:colOff>777299</xdr:colOff>
      <xdr:row>0</xdr:row>
      <xdr:rowOff>344056</xdr:rowOff>
    </xdr:to>
    <xdr:sp macro="" textlink="">
      <xdr:nvSpPr>
        <xdr:cNvPr id="8" name="Téglalap: lekerekített 7">
          <a:hlinkClick xmlns:r="http://schemas.openxmlformats.org/officeDocument/2006/relationships" r:id="rId3"/>
          <a:extLst>
            <a:ext uri="{FF2B5EF4-FFF2-40B4-BE49-F238E27FC236}">
              <a16:creationId xmlns:a16="http://schemas.microsoft.com/office/drawing/2014/main" id="{F6A2A730-E55A-4D5E-BAA3-06EA5C6663BD}"/>
            </a:ext>
          </a:extLst>
        </xdr:cNvPr>
        <xdr:cNvSpPr/>
      </xdr:nvSpPr>
      <xdr:spPr>
        <a:xfrm>
          <a:off x="4181956" y="60285"/>
          <a:ext cx="722843" cy="28377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WHC &gt;&gt;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5" name="Téglalap: lekerekített 4">
          <a:hlinkClick xmlns:r="http://schemas.openxmlformats.org/officeDocument/2006/relationships" r:id="rId1"/>
          <a:extLst>
            <a:ext uri="{FF2B5EF4-FFF2-40B4-BE49-F238E27FC236}">
              <a16:creationId xmlns:a16="http://schemas.microsoft.com/office/drawing/2014/main" id="{2B8D2055-0C87-4EA9-A447-6EE88BD80673}"/>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1081326</xdr:colOff>
      <xdr:row>0</xdr:row>
      <xdr:rowOff>37908</xdr:rowOff>
    </xdr:from>
    <xdr:to>
      <xdr:col>0</xdr:col>
      <xdr:colOff>1733550</xdr:colOff>
      <xdr:row>0</xdr:row>
      <xdr:rowOff>323659</xdr:rowOff>
    </xdr:to>
    <xdr:sp macro="" textlink="">
      <xdr:nvSpPr>
        <xdr:cNvPr id="6" name="Téglalap: lekerekített 5">
          <a:hlinkClick xmlns:r="http://schemas.openxmlformats.org/officeDocument/2006/relationships" r:id="rId2"/>
          <a:extLst>
            <a:ext uri="{FF2B5EF4-FFF2-40B4-BE49-F238E27FC236}">
              <a16:creationId xmlns:a16="http://schemas.microsoft.com/office/drawing/2014/main" id="{7CBE7671-AFFC-4F2C-91DB-DEECF3A2A3D2}"/>
            </a:ext>
          </a:extLst>
        </xdr:cNvPr>
        <xdr:cNvSpPr/>
      </xdr:nvSpPr>
      <xdr:spPr>
        <a:xfrm>
          <a:off x="1081326" y="37908"/>
          <a:ext cx="652224"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CNS</a:t>
          </a:r>
        </a:p>
      </xdr:txBody>
    </xdr:sp>
    <xdr:clientData/>
  </xdr:twoCellAnchor>
  <xdr:twoCellAnchor>
    <xdr:from>
      <xdr:col>0</xdr:col>
      <xdr:colOff>1861031</xdr:colOff>
      <xdr:row>0</xdr:row>
      <xdr:rowOff>35943</xdr:rowOff>
    </xdr:from>
    <xdr:to>
      <xdr:col>0</xdr:col>
      <xdr:colOff>2495550</xdr:colOff>
      <xdr:row>0</xdr:row>
      <xdr:rowOff>326064</xdr:rowOff>
    </xdr:to>
    <xdr:sp macro="" textlink="">
      <xdr:nvSpPr>
        <xdr:cNvPr id="7" name="Téglalap: lekerekített 6">
          <a:hlinkClick xmlns:r="http://schemas.openxmlformats.org/officeDocument/2006/relationships" r:id="rId3"/>
          <a:extLst>
            <a:ext uri="{FF2B5EF4-FFF2-40B4-BE49-F238E27FC236}">
              <a16:creationId xmlns:a16="http://schemas.microsoft.com/office/drawing/2014/main" id="{59BE617B-92E5-4DB7-81AF-2D126AF2981A}"/>
            </a:ext>
          </a:extLst>
        </xdr:cNvPr>
        <xdr:cNvSpPr/>
      </xdr:nvSpPr>
      <xdr:spPr>
        <a:xfrm>
          <a:off x="1861031" y="35943"/>
          <a:ext cx="634519" cy="29012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BIO &gt;&gt;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5" name="Téglalap: lekerekített 4">
          <a:hlinkClick xmlns:r="http://schemas.openxmlformats.org/officeDocument/2006/relationships" r:id="rId1"/>
          <a:extLst>
            <a:ext uri="{FF2B5EF4-FFF2-40B4-BE49-F238E27FC236}">
              <a16:creationId xmlns:a16="http://schemas.microsoft.com/office/drawing/2014/main" id="{9DC3D5B3-57A7-4BA0-86C1-314E1AD429A0}"/>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1836975</xdr:colOff>
      <xdr:row>0</xdr:row>
      <xdr:rowOff>50608</xdr:rowOff>
    </xdr:from>
    <xdr:to>
      <xdr:col>0</xdr:col>
      <xdr:colOff>2524124</xdr:colOff>
      <xdr:row>0</xdr:row>
      <xdr:rowOff>336359</xdr:rowOff>
    </xdr:to>
    <xdr:sp macro="" textlink="">
      <xdr:nvSpPr>
        <xdr:cNvPr id="6" name="Téglalap: lekerekített 5">
          <a:hlinkClick xmlns:r="http://schemas.openxmlformats.org/officeDocument/2006/relationships" r:id="rId2"/>
          <a:extLst>
            <a:ext uri="{FF2B5EF4-FFF2-40B4-BE49-F238E27FC236}">
              <a16:creationId xmlns:a16="http://schemas.microsoft.com/office/drawing/2014/main" id="{E0D2CB49-6665-4B54-805A-425BBB362251}"/>
            </a:ext>
          </a:extLst>
        </xdr:cNvPr>
        <xdr:cNvSpPr/>
      </xdr:nvSpPr>
      <xdr:spPr>
        <a:xfrm>
          <a:off x="1836975" y="50608"/>
          <a:ext cx="687149"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GM &gt;&gt;</a:t>
          </a:r>
        </a:p>
      </xdr:txBody>
    </xdr:sp>
    <xdr:clientData/>
  </xdr:twoCellAnchor>
  <xdr:twoCellAnchor>
    <xdr:from>
      <xdr:col>0</xdr:col>
      <xdr:colOff>1038225</xdr:colOff>
      <xdr:row>0</xdr:row>
      <xdr:rowOff>47625</xdr:rowOff>
    </xdr:from>
    <xdr:to>
      <xdr:col>0</xdr:col>
      <xdr:colOff>1743075</xdr:colOff>
      <xdr:row>0</xdr:row>
      <xdr:rowOff>333376</xdr:rowOff>
    </xdr:to>
    <xdr:sp macro="" textlink="">
      <xdr:nvSpPr>
        <xdr:cNvPr id="8" name="Téglalap: lekerekített 7">
          <a:hlinkClick xmlns:r="http://schemas.openxmlformats.org/officeDocument/2006/relationships" r:id="rId3"/>
          <a:extLst>
            <a:ext uri="{FF2B5EF4-FFF2-40B4-BE49-F238E27FC236}">
              <a16:creationId xmlns:a16="http://schemas.microsoft.com/office/drawing/2014/main" id="{88E2C4D1-67C8-46F3-B7ED-5927F3BFD2A9}"/>
            </a:ext>
          </a:extLst>
        </xdr:cNvPr>
        <xdr:cNvSpPr/>
      </xdr:nvSpPr>
      <xdr:spPr>
        <a:xfrm>
          <a:off x="1038225" y="47625"/>
          <a:ext cx="704850"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WHC</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987427</xdr:colOff>
      <xdr:row>0</xdr:row>
      <xdr:rowOff>342901</xdr:rowOff>
    </xdr:to>
    <xdr:sp macro="" textlink="">
      <xdr:nvSpPr>
        <xdr:cNvPr id="5" name="Téglalap: lekerekített 4">
          <a:hlinkClick xmlns:r="http://schemas.openxmlformats.org/officeDocument/2006/relationships" r:id="rId1"/>
          <a:extLst>
            <a:ext uri="{FF2B5EF4-FFF2-40B4-BE49-F238E27FC236}">
              <a16:creationId xmlns:a16="http://schemas.microsoft.com/office/drawing/2014/main" id="{98A5E5AD-6A3A-4A81-8FFC-2A68B2AFC657}"/>
            </a:ext>
          </a:extLst>
        </xdr:cNvPr>
        <xdr:cNvSpPr/>
      </xdr:nvSpPr>
      <xdr:spPr>
        <a:xfrm>
          <a:off x="676275" y="57150"/>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1838325</xdr:colOff>
      <xdr:row>0</xdr:row>
      <xdr:rowOff>66675</xdr:rowOff>
    </xdr:from>
    <xdr:to>
      <xdr:col>0</xdr:col>
      <xdr:colOff>3200400</xdr:colOff>
      <xdr:row>0</xdr:row>
      <xdr:rowOff>356796</xdr:rowOff>
    </xdr:to>
    <xdr:sp macro="" textlink="">
      <xdr:nvSpPr>
        <xdr:cNvPr id="6" name="Téglalap: lekerekített 5">
          <a:hlinkClick xmlns:r="http://schemas.openxmlformats.org/officeDocument/2006/relationships" r:id="rId2"/>
          <a:extLst>
            <a:ext uri="{FF2B5EF4-FFF2-40B4-BE49-F238E27FC236}">
              <a16:creationId xmlns:a16="http://schemas.microsoft.com/office/drawing/2014/main" id="{C63181C1-0074-4877-A4B6-456CBF74EC4C}"/>
            </a:ext>
          </a:extLst>
        </xdr:cNvPr>
        <xdr:cNvSpPr/>
      </xdr:nvSpPr>
      <xdr:spPr>
        <a:xfrm>
          <a:off x="2447925" y="66675"/>
          <a:ext cx="1362075" cy="29012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Revenue Top10  &gt;&gt;</a:t>
          </a:r>
        </a:p>
      </xdr:txBody>
    </xdr:sp>
    <xdr:clientData/>
  </xdr:twoCellAnchor>
  <xdr:twoCellAnchor>
    <xdr:from>
      <xdr:col>0</xdr:col>
      <xdr:colOff>1066800</xdr:colOff>
      <xdr:row>0</xdr:row>
      <xdr:rowOff>57150</xdr:rowOff>
    </xdr:from>
    <xdr:to>
      <xdr:col>0</xdr:col>
      <xdr:colOff>1743075</xdr:colOff>
      <xdr:row>0</xdr:row>
      <xdr:rowOff>342901</xdr:rowOff>
    </xdr:to>
    <xdr:sp macro="" textlink="">
      <xdr:nvSpPr>
        <xdr:cNvPr id="7" name="Téglalap: lekerekített 6">
          <a:hlinkClick xmlns:r="http://schemas.openxmlformats.org/officeDocument/2006/relationships" r:id="rId3"/>
          <a:extLst>
            <a:ext uri="{FF2B5EF4-FFF2-40B4-BE49-F238E27FC236}">
              <a16:creationId xmlns:a16="http://schemas.microsoft.com/office/drawing/2014/main" id="{462EC2EA-3B9E-43C3-AE09-F7621EE254A9}"/>
            </a:ext>
          </a:extLst>
        </xdr:cNvPr>
        <xdr:cNvSpPr/>
      </xdr:nvSpPr>
      <xdr:spPr>
        <a:xfrm>
          <a:off x="1676400" y="57150"/>
          <a:ext cx="676275"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BIO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6" name="Téglalap: lekerekített 5">
          <a:hlinkClick xmlns:r="http://schemas.openxmlformats.org/officeDocument/2006/relationships" r:id="rId1"/>
          <a:extLst>
            <a:ext uri="{FF2B5EF4-FFF2-40B4-BE49-F238E27FC236}">
              <a16:creationId xmlns:a16="http://schemas.microsoft.com/office/drawing/2014/main" id="{2A762CFB-47A2-4DFE-AEDD-1846C3FFED19}"/>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1</xdr:col>
      <xdr:colOff>86492</xdr:colOff>
      <xdr:row>0</xdr:row>
      <xdr:rowOff>40025</xdr:rowOff>
    </xdr:from>
    <xdr:to>
      <xdr:col>1</xdr:col>
      <xdr:colOff>1732490</xdr:colOff>
      <xdr:row>0</xdr:row>
      <xdr:rowOff>325776</xdr:rowOff>
    </xdr:to>
    <xdr:sp macro="" textlink="">
      <xdr:nvSpPr>
        <xdr:cNvPr id="7" name="Téglalap: lekerekített 6">
          <a:hlinkClick xmlns:r="http://schemas.openxmlformats.org/officeDocument/2006/relationships" r:id="rId2"/>
          <a:extLst>
            <a:ext uri="{FF2B5EF4-FFF2-40B4-BE49-F238E27FC236}">
              <a16:creationId xmlns:a16="http://schemas.microsoft.com/office/drawing/2014/main" id="{2CFA0624-84D8-4914-A0F2-D2F832C6CF70}"/>
            </a:ext>
          </a:extLst>
        </xdr:cNvPr>
        <xdr:cNvSpPr/>
      </xdr:nvSpPr>
      <xdr:spPr>
        <a:xfrm>
          <a:off x="2531242" y="40025"/>
          <a:ext cx="1645998"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Shareholder structure &gt;&gt;</a:t>
          </a:r>
        </a:p>
      </xdr:txBody>
    </xdr:sp>
    <xdr:clientData/>
  </xdr:twoCellAnchor>
  <xdr:twoCellAnchor>
    <xdr:from>
      <xdr:col>0</xdr:col>
      <xdr:colOff>1028699</xdr:colOff>
      <xdr:row>0</xdr:row>
      <xdr:rowOff>38100</xdr:rowOff>
    </xdr:from>
    <xdr:to>
      <xdr:col>0</xdr:col>
      <xdr:colOff>1928812</xdr:colOff>
      <xdr:row>0</xdr:row>
      <xdr:rowOff>323851</xdr:rowOff>
    </xdr:to>
    <xdr:sp macro="" textlink="">
      <xdr:nvSpPr>
        <xdr:cNvPr id="8" name="Téglalap: lekerekített 7">
          <a:hlinkClick xmlns:r="http://schemas.openxmlformats.org/officeDocument/2006/relationships" r:id="rId3"/>
          <a:extLst>
            <a:ext uri="{FF2B5EF4-FFF2-40B4-BE49-F238E27FC236}">
              <a16:creationId xmlns:a16="http://schemas.microsoft.com/office/drawing/2014/main" id="{D482A9B5-F4DC-4287-B79C-5C893460D3FC}"/>
            </a:ext>
          </a:extLst>
        </xdr:cNvPr>
        <xdr:cNvSpPr/>
      </xdr:nvSpPr>
      <xdr:spPr>
        <a:xfrm>
          <a:off x="1028699" y="38100"/>
          <a:ext cx="900113"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GenMed</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0</xdr:row>
      <xdr:rowOff>66772</xdr:rowOff>
    </xdr:from>
    <xdr:to>
      <xdr:col>0</xdr:col>
      <xdr:colOff>996952</xdr:colOff>
      <xdr:row>0</xdr:row>
      <xdr:rowOff>352523</xdr:rowOff>
    </xdr:to>
    <xdr:sp macro="" textlink="">
      <xdr:nvSpPr>
        <xdr:cNvPr id="2" name="Téglalap: lekerekített 1">
          <a:hlinkClick xmlns:r="http://schemas.openxmlformats.org/officeDocument/2006/relationships" r:id="rId1"/>
          <a:extLst>
            <a:ext uri="{FF2B5EF4-FFF2-40B4-BE49-F238E27FC236}">
              <a16:creationId xmlns:a16="http://schemas.microsoft.com/office/drawing/2014/main" id="{6FC7952F-7A08-4279-8F98-CCE06CA1768A}"/>
            </a:ext>
          </a:extLst>
        </xdr:cNvPr>
        <xdr:cNvSpPr/>
      </xdr:nvSpPr>
      <xdr:spPr>
        <a:xfrm>
          <a:off x="76200" y="66772"/>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1125777</xdr:colOff>
      <xdr:row>0</xdr:row>
      <xdr:rowOff>66675</xdr:rowOff>
    </xdr:from>
    <xdr:to>
      <xdr:col>0</xdr:col>
      <xdr:colOff>2419350</xdr:colOff>
      <xdr:row>0</xdr:row>
      <xdr:rowOff>352426</xdr:rowOff>
    </xdr:to>
    <xdr:sp macro="" textlink="">
      <xdr:nvSpPr>
        <xdr:cNvPr id="3" name="Téglalap: lekerekített 2">
          <a:hlinkClick xmlns:r="http://schemas.openxmlformats.org/officeDocument/2006/relationships" r:id="rId2"/>
          <a:extLst>
            <a:ext uri="{FF2B5EF4-FFF2-40B4-BE49-F238E27FC236}">
              <a16:creationId xmlns:a16="http://schemas.microsoft.com/office/drawing/2014/main" id="{DD574359-1E86-4CBF-B4B1-C5652883804D}"/>
            </a:ext>
          </a:extLst>
        </xdr:cNvPr>
        <xdr:cNvSpPr/>
      </xdr:nvSpPr>
      <xdr:spPr>
        <a:xfrm>
          <a:off x="1125777" y="66675"/>
          <a:ext cx="1293573"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Revenue Top10</a:t>
          </a:r>
        </a:p>
      </xdr:txBody>
    </xdr:sp>
    <xdr:clientData/>
  </xdr:twoCellAnchor>
  <xdr:twoCellAnchor>
    <xdr:from>
      <xdr:col>0</xdr:col>
      <xdr:colOff>2488406</xdr:colOff>
      <xdr:row>0</xdr:row>
      <xdr:rowOff>74235</xdr:rowOff>
    </xdr:from>
    <xdr:to>
      <xdr:col>0</xdr:col>
      <xdr:colOff>3746500</xdr:colOff>
      <xdr:row>0</xdr:row>
      <xdr:rowOff>333375</xdr:rowOff>
    </xdr:to>
    <xdr:sp macro="" textlink="">
      <xdr:nvSpPr>
        <xdr:cNvPr id="4" name="Téglalap: lekerekített 3">
          <a:hlinkClick xmlns:r="http://schemas.openxmlformats.org/officeDocument/2006/relationships" r:id="rId3"/>
          <a:extLst>
            <a:ext uri="{FF2B5EF4-FFF2-40B4-BE49-F238E27FC236}">
              <a16:creationId xmlns:a16="http://schemas.microsoft.com/office/drawing/2014/main" id="{21C26FAA-F7C6-4144-8BC0-8D91BCE5CDAF}"/>
            </a:ext>
          </a:extLst>
        </xdr:cNvPr>
        <xdr:cNvSpPr/>
      </xdr:nvSpPr>
      <xdr:spPr>
        <a:xfrm>
          <a:off x="2488406" y="74235"/>
          <a:ext cx="1258094" cy="25914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BU </a:t>
          </a:r>
          <a:r>
            <a:rPr lang="hu-HU" sz="1100">
              <a:solidFill>
                <a:schemeClr val="lt1"/>
              </a:solidFill>
              <a:effectLst/>
              <a:latin typeface="+mn-lt"/>
              <a:ea typeface="+mn-ea"/>
              <a:cs typeface="+mn-cs"/>
            </a:rPr>
            <a:t>description </a:t>
          </a:r>
          <a:r>
            <a:rPr lang="hu-HU" sz="1100"/>
            <a:t>&gt;&gt;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63500</xdr:colOff>
      <xdr:row>0</xdr:row>
      <xdr:rowOff>52917</xdr:rowOff>
    </xdr:from>
    <xdr:to>
      <xdr:col>0</xdr:col>
      <xdr:colOff>1143000</xdr:colOff>
      <xdr:row>0</xdr:row>
      <xdr:rowOff>337317</xdr:rowOff>
    </xdr:to>
    <xdr:sp macro="" textlink="">
      <xdr:nvSpPr>
        <xdr:cNvPr id="3" name="Téglalap: lekerekített 2">
          <a:hlinkClick xmlns:r="http://schemas.openxmlformats.org/officeDocument/2006/relationships" r:id="rId1"/>
          <a:extLst>
            <a:ext uri="{FF2B5EF4-FFF2-40B4-BE49-F238E27FC236}">
              <a16:creationId xmlns:a16="http://schemas.microsoft.com/office/drawing/2014/main" id="{FFCEA57F-2932-49EE-A3AE-9281AF97B93E}"/>
            </a:ext>
          </a:extLst>
        </xdr:cNvPr>
        <xdr:cNvSpPr/>
      </xdr:nvSpPr>
      <xdr:spPr>
        <a:xfrm>
          <a:off x="63500" y="1174750"/>
          <a:ext cx="1079500" cy="2844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1</xdr:col>
      <xdr:colOff>34925</xdr:colOff>
      <xdr:row>0</xdr:row>
      <xdr:rowOff>64559</xdr:rowOff>
    </xdr:from>
    <xdr:to>
      <xdr:col>1</xdr:col>
      <xdr:colOff>1701800</xdr:colOff>
      <xdr:row>0</xdr:row>
      <xdr:rowOff>350310</xdr:rowOff>
    </xdr:to>
    <xdr:sp macro="" textlink="">
      <xdr:nvSpPr>
        <xdr:cNvPr id="4" name="Téglalap: lekerekített 3">
          <a:hlinkClick xmlns:r="http://schemas.openxmlformats.org/officeDocument/2006/relationships" r:id="rId2"/>
          <a:extLst>
            <a:ext uri="{FF2B5EF4-FFF2-40B4-BE49-F238E27FC236}">
              <a16:creationId xmlns:a16="http://schemas.microsoft.com/office/drawing/2014/main" id="{A6A96B4E-4DBA-4949-BC72-34FB1BA3E7EE}"/>
            </a:ext>
          </a:extLst>
        </xdr:cNvPr>
        <xdr:cNvSpPr/>
      </xdr:nvSpPr>
      <xdr:spPr>
        <a:xfrm>
          <a:off x="1294342" y="1186392"/>
          <a:ext cx="1666875"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Shareholder structure</a:t>
          </a:r>
        </a:p>
      </xdr:txBody>
    </xdr:sp>
    <xdr:clientData/>
  </xdr:twoCellAnchor>
  <xdr:twoCellAnchor>
    <xdr:from>
      <xdr:col>1</xdr:col>
      <xdr:colOff>1778001</xdr:colOff>
      <xdr:row>0</xdr:row>
      <xdr:rowOff>64710</xdr:rowOff>
    </xdr:from>
    <xdr:to>
      <xdr:col>1</xdr:col>
      <xdr:colOff>2688166</xdr:colOff>
      <xdr:row>0</xdr:row>
      <xdr:rowOff>349250</xdr:rowOff>
    </xdr:to>
    <xdr:sp macro="" textlink="">
      <xdr:nvSpPr>
        <xdr:cNvPr id="5" name="Téglalap: lekerekített 4">
          <a:hlinkClick xmlns:r="http://schemas.openxmlformats.org/officeDocument/2006/relationships" r:id="rId3"/>
          <a:extLst>
            <a:ext uri="{FF2B5EF4-FFF2-40B4-BE49-F238E27FC236}">
              <a16:creationId xmlns:a16="http://schemas.microsoft.com/office/drawing/2014/main" id="{1666134D-8DDA-414B-958B-EE69141504D2}"/>
            </a:ext>
          </a:extLst>
        </xdr:cNvPr>
        <xdr:cNvSpPr/>
      </xdr:nvSpPr>
      <xdr:spPr>
        <a:xfrm>
          <a:off x="3037418" y="1186543"/>
          <a:ext cx="910165" cy="28454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FX rates &gt;&gt;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52917</xdr:colOff>
      <xdr:row>0</xdr:row>
      <xdr:rowOff>42334</xdr:rowOff>
    </xdr:from>
    <xdr:to>
      <xdr:col>0</xdr:col>
      <xdr:colOff>973669</xdr:colOff>
      <xdr:row>0</xdr:row>
      <xdr:rowOff>328083</xdr:rowOff>
    </xdr:to>
    <xdr:sp macro="" textlink="">
      <xdr:nvSpPr>
        <xdr:cNvPr id="2" name="Téglalap: lekerekített 1">
          <a:hlinkClick xmlns:r="http://schemas.openxmlformats.org/officeDocument/2006/relationships" r:id="rId1"/>
          <a:extLst>
            <a:ext uri="{FF2B5EF4-FFF2-40B4-BE49-F238E27FC236}">
              <a16:creationId xmlns:a16="http://schemas.microsoft.com/office/drawing/2014/main" id="{8C3ABD0A-7755-47C5-9A2E-CA8B74125082}"/>
            </a:ext>
          </a:extLst>
        </xdr:cNvPr>
        <xdr:cNvSpPr/>
      </xdr:nvSpPr>
      <xdr:spPr>
        <a:xfrm>
          <a:off x="52917" y="42334"/>
          <a:ext cx="920752" cy="285749"/>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1057275</xdr:colOff>
      <xdr:row>0</xdr:row>
      <xdr:rowOff>57150</xdr:rowOff>
    </xdr:from>
    <xdr:to>
      <xdr:col>0</xdr:col>
      <xdr:colOff>2297906</xdr:colOff>
      <xdr:row>0</xdr:row>
      <xdr:rowOff>342901</xdr:rowOff>
    </xdr:to>
    <xdr:sp macro="" textlink="">
      <xdr:nvSpPr>
        <xdr:cNvPr id="3" name="Téglalap: lekerekített 2">
          <a:hlinkClick xmlns:r="http://schemas.openxmlformats.org/officeDocument/2006/relationships" r:id="rId2"/>
          <a:extLst>
            <a:ext uri="{FF2B5EF4-FFF2-40B4-BE49-F238E27FC236}">
              <a16:creationId xmlns:a16="http://schemas.microsoft.com/office/drawing/2014/main" id="{5DB04BD2-1185-4C2E-857F-35796AC818D5}"/>
            </a:ext>
          </a:extLst>
        </xdr:cNvPr>
        <xdr:cNvSpPr/>
      </xdr:nvSpPr>
      <xdr:spPr>
        <a:xfrm>
          <a:off x="1057275" y="57150"/>
          <a:ext cx="1240631"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BU description</a:t>
          </a:r>
        </a:p>
      </xdr:txBody>
    </xdr:sp>
    <xdr:clientData/>
  </xdr:twoCellAnchor>
  <xdr:twoCellAnchor>
    <xdr:from>
      <xdr:col>0</xdr:col>
      <xdr:colOff>2362178</xdr:colOff>
      <xdr:row>0</xdr:row>
      <xdr:rowOff>52803</xdr:rowOff>
    </xdr:from>
    <xdr:to>
      <xdr:col>0</xdr:col>
      <xdr:colOff>3056732</xdr:colOff>
      <xdr:row>0</xdr:row>
      <xdr:rowOff>337203</xdr:rowOff>
    </xdr:to>
    <xdr:sp macro="" textlink="">
      <xdr:nvSpPr>
        <xdr:cNvPr id="4" name="Téglalap: lekerekített 3">
          <a:hlinkClick xmlns:r="http://schemas.openxmlformats.org/officeDocument/2006/relationships" r:id="rId3"/>
          <a:extLst>
            <a:ext uri="{FF2B5EF4-FFF2-40B4-BE49-F238E27FC236}">
              <a16:creationId xmlns:a16="http://schemas.microsoft.com/office/drawing/2014/main" id="{6BD36498-BA6C-4E8D-9981-843B470F8BB4}"/>
            </a:ext>
          </a:extLst>
        </xdr:cNvPr>
        <xdr:cNvSpPr/>
      </xdr:nvSpPr>
      <xdr:spPr>
        <a:xfrm>
          <a:off x="2362178" y="52803"/>
          <a:ext cx="694554" cy="2844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Note &gt;&gt;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52917</xdr:colOff>
      <xdr:row>0</xdr:row>
      <xdr:rowOff>42334</xdr:rowOff>
    </xdr:from>
    <xdr:to>
      <xdr:col>0</xdr:col>
      <xdr:colOff>973669</xdr:colOff>
      <xdr:row>0</xdr:row>
      <xdr:rowOff>328083</xdr:rowOff>
    </xdr:to>
    <xdr:sp macro="" textlink="">
      <xdr:nvSpPr>
        <xdr:cNvPr id="2" name="Téglalap: lekerekített 1">
          <a:hlinkClick xmlns:r="http://schemas.openxmlformats.org/officeDocument/2006/relationships" r:id="rId1"/>
          <a:extLst>
            <a:ext uri="{FF2B5EF4-FFF2-40B4-BE49-F238E27FC236}">
              <a16:creationId xmlns:a16="http://schemas.microsoft.com/office/drawing/2014/main" id="{5C535F0F-835F-4E45-9B6F-01F8C8EEF5A9}"/>
            </a:ext>
          </a:extLst>
        </xdr:cNvPr>
        <xdr:cNvSpPr/>
      </xdr:nvSpPr>
      <xdr:spPr>
        <a:xfrm>
          <a:off x="52917" y="42334"/>
          <a:ext cx="920752" cy="285749"/>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1047750</xdr:colOff>
      <xdr:row>0</xdr:row>
      <xdr:rowOff>52917</xdr:rowOff>
    </xdr:from>
    <xdr:to>
      <xdr:col>0</xdr:col>
      <xdr:colOff>1926167</xdr:colOff>
      <xdr:row>0</xdr:row>
      <xdr:rowOff>338668</xdr:rowOff>
    </xdr:to>
    <xdr:sp macro="" textlink="">
      <xdr:nvSpPr>
        <xdr:cNvPr id="3" name="Téglalap: lekerekített 2">
          <a:hlinkClick xmlns:r="http://schemas.openxmlformats.org/officeDocument/2006/relationships" r:id="rId2"/>
          <a:extLst>
            <a:ext uri="{FF2B5EF4-FFF2-40B4-BE49-F238E27FC236}">
              <a16:creationId xmlns:a16="http://schemas.microsoft.com/office/drawing/2014/main" id="{19DCB2F2-299B-4176-839B-997A267FE8A2}"/>
            </a:ext>
          </a:extLst>
        </xdr:cNvPr>
        <xdr:cNvSpPr/>
      </xdr:nvSpPr>
      <xdr:spPr>
        <a:xfrm>
          <a:off x="1047750" y="52917"/>
          <a:ext cx="878417"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FX rates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52917</xdr:colOff>
      <xdr:row>0</xdr:row>
      <xdr:rowOff>42334</xdr:rowOff>
    </xdr:from>
    <xdr:to>
      <xdr:col>0</xdr:col>
      <xdr:colOff>990600</xdr:colOff>
      <xdr:row>0</xdr:row>
      <xdr:rowOff>349250</xdr:rowOff>
    </xdr:to>
    <xdr:sp macro="" textlink="">
      <xdr:nvSpPr>
        <xdr:cNvPr id="2" name="Téglalap: lekerekített 1">
          <a:hlinkClick xmlns:r="http://schemas.openxmlformats.org/officeDocument/2006/relationships" r:id="rId1"/>
          <a:extLst>
            <a:ext uri="{FF2B5EF4-FFF2-40B4-BE49-F238E27FC236}">
              <a16:creationId xmlns:a16="http://schemas.microsoft.com/office/drawing/2014/main" id="{64A0B6DF-3847-415D-B380-4B53319616BA}"/>
            </a:ext>
          </a:extLst>
        </xdr:cNvPr>
        <xdr:cNvSpPr/>
      </xdr:nvSpPr>
      <xdr:spPr>
        <a:xfrm>
          <a:off x="52917" y="42334"/>
          <a:ext cx="937683" cy="306916"/>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1079501</xdr:colOff>
      <xdr:row>0</xdr:row>
      <xdr:rowOff>46567</xdr:rowOff>
    </xdr:from>
    <xdr:to>
      <xdr:col>0</xdr:col>
      <xdr:colOff>2032000</xdr:colOff>
      <xdr:row>0</xdr:row>
      <xdr:rowOff>349250</xdr:rowOff>
    </xdr:to>
    <xdr:sp macro="" textlink="">
      <xdr:nvSpPr>
        <xdr:cNvPr id="3" name="Téglalap: lekerekített 2">
          <a:hlinkClick xmlns:r="http://schemas.openxmlformats.org/officeDocument/2006/relationships" r:id="rId2"/>
          <a:extLst>
            <a:ext uri="{FF2B5EF4-FFF2-40B4-BE49-F238E27FC236}">
              <a16:creationId xmlns:a16="http://schemas.microsoft.com/office/drawing/2014/main" id="{BD39F82B-2725-4F52-A0F4-E88FFBC77577}"/>
            </a:ext>
          </a:extLst>
        </xdr:cNvPr>
        <xdr:cNvSpPr/>
      </xdr:nvSpPr>
      <xdr:spPr>
        <a:xfrm>
          <a:off x="1079501" y="46567"/>
          <a:ext cx="952499" cy="302683"/>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hu-HU" sz="1100"/>
            <a:t>&lt;&lt; Note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1020234</xdr:colOff>
      <xdr:row>0</xdr:row>
      <xdr:rowOff>333376</xdr:rowOff>
    </xdr:to>
    <xdr:sp macro="" textlink="">
      <xdr:nvSpPr>
        <xdr:cNvPr id="4" name="Téglalap: lekerekített 3">
          <a:hlinkClick xmlns:r="http://schemas.openxmlformats.org/officeDocument/2006/relationships" r:id="rId1"/>
          <a:extLst>
            <a:ext uri="{FF2B5EF4-FFF2-40B4-BE49-F238E27FC236}">
              <a16:creationId xmlns:a16="http://schemas.microsoft.com/office/drawing/2014/main" id="{824316C6-E945-49FA-907F-98499E3291E8}"/>
            </a:ext>
          </a:extLst>
        </xdr:cNvPr>
        <xdr:cNvSpPr/>
      </xdr:nvSpPr>
      <xdr:spPr>
        <a:xfrm>
          <a:off x="666750" y="47625"/>
          <a:ext cx="963084"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endParaRPr lang="hu-HU" sz="1100" baseline="0"/>
        </a:p>
      </xdr:txBody>
    </xdr:sp>
    <xdr:clientData/>
  </xdr:twoCellAnchor>
  <xdr:twoCellAnchor>
    <xdr:from>
      <xdr:col>0</xdr:col>
      <xdr:colOff>1133475</xdr:colOff>
      <xdr:row>0</xdr:row>
      <xdr:rowOff>57150</xdr:rowOff>
    </xdr:from>
    <xdr:to>
      <xdr:col>0</xdr:col>
      <xdr:colOff>2128886</xdr:colOff>
      <xdr:row>0</xdr:row>
      <xdr:rowOff>341550</xdr:rowOff>
    </xdr:to>
    <xdr:sp macro="" textlink="">
      <xdr:nvSpPr>
        <xdr:cNvPr id="5" name="Téglalap: lekerekített 4">
          <a:hlinkClick xmlns:r="http://schemas.openxmlformats.org/officeDocument/2006/relationships" r:id="rId2"/>
          <a:extLst>
            <a:ext uri="{FF2B5EF4-FFF2-40B4-BE49-F238E27FC236}">
              <a16:creationId xmlns:a16="http://schemas.microsoft.com/office/drawing/2014/main" id="{C7701A97-3F0C-4275-98E4-E86E15C22029}"/>
            </a:ext>
          </a:extLst>
        </xdr:cNvPr>
        <xdr:cNvSpPr/>
      </xdr:nvSpPr>
      <xdr:spPr>
        <a:xfrm>
          <a:off x="1743075" y="57150"/>
          <a:ext cx="995411" cy="2844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P&amp;L (HUF) &gt;&gt;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994833</xdr:colOff>
      <xdr:row>0</xdr:row>
      <xdr:rowOff>323756</xdr:rowOff>
    </xdr:to>
    <xdr:sp macro="" textlink="">
      <xdr:nvSpPr>
        <xdr:cNvPr id="23" name="Téglalap: lekerekített 22">
          <a:hlinkClick xmlns:r="http://schemas.openxmlformats.org/officeDocument/2006/relationships" r:id="rId1"/>
          <a:extLst>
            <a:ext uri="{FF2B5EF4-FFF2-40B4-BE49-F238E27FC236}">
              <a16:creationId xmlns:a16="http://schemas.microsoft.com/office/drawing/2014/main" id="{0EB47B9B-D2FC-4F4C-A700-2452E86AF121}"/>
            </a:ext>
          </a:extLst>
        </xdr:cNvPr>
        <xdr:cNvSpPr/>
      </xdr:nvSpPr>
      <xdr:spPr>
        <a:xfrm>
          <a:off x="31749" y="38005"/>
          <a:ext cx="963084"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endParaRPr lang="hu-HU" sz="1100" baseline="0"/>
        </a:p>
      </xdr:txBody>
    </xdr:sp>
    <xdr:clientData/>
  </xdr:twoCellAnchor>
  <xdr:twoCellAnchor>
    <xdr:from>
      <xdr:col>0</xdr:col>
      <xdr:colOff>1081325</xdr:colOff>
      <xdr:row>0</xdr:row>
      <xdr:rowOff>48491</xdr:rowOff>
    </xdr:from>
    <xdr:to>
      <xdr:col>0</xdr:col>
      <xdr:colOff>2701325</xdr:colOff>
      <xdr:row>0</xdr:row>
      <xdr:rowOff>334242</xdr:rowOff>
    </xdr:to>
    <xdr:sp macro="" textlink="">
      <xdr:nvSpPr>
        <xdr:cNvPr id="24" name="Téglalap: lekerekített 23">
          <a:hlinkClick xmlns:r="http://schemas.openxmlformats.org/officeDocument/2006/relationships" r:id="rId2"/>
          <a:extLst>
            <a:ext uri="{FF2B5EF4-FFF2-40B4-BE49-F238E27FC236}">
              <a16:creationId xmlns:a16="http://schemas.microsoft.com/office/drawing/2014/main" id="{3B26FD21-4626-4D61-83E3-9768B3EBB1EA}"/>
            </a:ext>
          </a:extLst>
        </xdr:cNvPr>
        <xdr:cNvSpPr/>
      </xdr:nvSpPr>
      <xdr:spPr>
        <a:xfrm>
          <a:off x="1081325" y="48491"/>
          <a:ext cx="1620000"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hu-HU" sz="1100">
              <a:solidFill>
                <a:schemeClr val="lt1"/>
              </a:solidFill>
              <a:effectLst/>
              <a:latin typeface="+mn-lt"/>
              <a:ea typeface="+mn-ea"/>
              <a:cs typeface="+mn-cs"/>
            </a:rPr>
            <a:t>&lt;&lt; Financial</a:t>
          </a:r>
          <a:r>
            <a:rPr lang="hu-HU" sz="1100" baseline="0">
              <a:solidFill>
                <a:schemeClr val="lt1"/>
              </a:solidFill>
              <a:effectLst/>
              <a:latin typeface="+mn-lt"/>
              <a:ea typeface="+mn-ea"/>
              <a:cs typeface="+mn-cs"/>
            </a:rPr>
            <a:t> Highlights</a:t>
          </a:r>
          <a:endParaRPr lang="hu-HU">
            <a:effectLst/>
          </a:endParaRPr>
        </a:p>
      </xdr:txBody>
    </xdr:sp>
    <xdr:clientData/>
  </xdr:twoCellAnchor>
  <xdr:twoCellAnchor>
    <xdr:from>
      <xdr:col>1</xdr:col>
      <xdr:colOff>102082</xdr:colOff>
      <xdr:row>0</xdr:row>
      <xdr:rowOff>70867</xdr:rowOff>
    </xdr:from>
    <xdr:to>
      <xdr:col>1</xdr:col>
      <xdr:colOff>1693334</xdr:colOff>
      <xdr:row>0</xdr:row>
      <xdr:rowOff>355267</xdr:rowOff>
    </xdr:to>
    <xdr:sp macro="" textlink="">
      <xdr:nvSpPr>
        <xdr:cNvPr id="25" name="Téglalap: lekerekített 24">
          <a:hlinkClick xmlns:r="http://schemas.openxmlformats.org/officeDocument/2006/relationships" r:id="rId3"/>
          <a:extLst>
            <a:ext uri="{FF2B5EF4-FFF2-40B4-BE49-F238E27FC236}">
              <a16:creationId xmlns:a16="http://schemas.microsoft.com/office/drawing/2014/main" id="{84BE4CF4-CE80-4143-8AC1-0F6B5960C3D1}"/>
            </a:ext>
          </a:extLst>
        </xdr:cNvPr>
        <xdr:cNvSpPr/>
      </xdr:nvSpPr>
      <xdr:spPr>
        <a:xfrm>
          <a:off x="3351165" y="70867"/>
          <a:ext cx="1591252" cy="2844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Profit</a:t>
          </a:r>
          <a:r>
            <a:rPr lang="hu-HU" sz="1100" baseline="0"/>
            <a:t> and Loss </a:t>
          </a:r>
          <a:r>
            <a:rPr lang="hu-HU" sz="1100"/>
            <a:t>(EUR) &gt;&gt;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5" name="Téglalap: lekerekített 4">
          <a:hlinkClick xmlns:r="http://schemas.openxmlformats.org/officeDocument/2006/relationships" r:id="rId1"/>
          <a:extLst>
            <a:ext uri="{FF2B5EF4-FFF2-40B4-BE49-F238E27FC236}">
              <a16:creationId xmlns:a16="http://schemas.microsoft.com/office/drawing/2014/main" id="{E20AE226-CDB4-4798-A3D9-B31C2DE14705}"/>
            </a:ext>
          </a:extLst>
        </xdr:cNvPr>
        <xdr:cNvSpPr/>
      </xdr:nvSpPr>
      <xdr:spPr>
        <a:xfrm>
          <a:off x="31749" y="6095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1093246</xdr:colOff>
      <xdr:row>0</xdr:row>
      <xdr:rowOff>45507</xdr:rowOff>
    </xdr:from>
    <xdr:to>
      <xdr:col>0</xdr:col>
      <xdr:colOff>2709333</xdr:colOff>
      <xdr:row>0</xdr:row>
      <xdr:rowOff>326732</xdr:rowOff>
    </xdr:to>
    <xdr:sp macro="" textlink="">
      <xdr:nvSpPr>
        <xdr:cNvPr id="2" name="Téglalap: lekerekített 1">
          <a:hlinkClick xmlns:r="http://schemas.openxmlformats.org/officeDocument/2006/relationships" r:id="rId2"/>
          <a:extLst>
            <a:ext uri="{FF2B5EF4-FFF2-40B4-BE49-F238E27FC236}">
              <a16:creationId xmlns:a16="http://schemas.microsoft.com/office/drawing/2014/main" id="{534585F7-115F-4BC2-AD18-E7F3E80A04B8}"/>
            </a:ext>
          </a:extLst>
        </xdr:cNvPr>
        <xdr:cNvSpPr/>
      </xdr:nvSpPr>
      <xdr:spPr>
        <a:xfrm>
          <a:off x="1093246" y="45507"/>
          <a:ext cx="1616087" cy="2812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a:t>
          </a:r>
          <a:r>
            <a:rPr lang="hu-HU" sz="1100">
              <a:solidFill>
                <a:schemeClr val="lt1"/>
              </a:solidFill>
              <a:effectLst/>
              <a:latin typeface="+mn-lt"/>
              <a:ea typeface="+mn-ea"/>
              <a:cs typeface="+mn-cs"/>
            </a:rPr>
            <a:t>Profit</a:t>
          </a:r>
          <a:r>
            <a:rPr lang="hu-HU" sz="1100" baseline="0">
              <a:solidFill>
                <a:schemeClr val="lt1"/>
              </a:solidFill>
              <a:effectLst/>
              <a:latin typeface="+mn-lt"/>
              <a:ea typeface="+mn-ea"/>
              <a:cs typeface="+mn-cs"/>
            </a:rPr>
            <a:t> and Loss </a:t>
          </a:r>
          <a:r>
            <a:rPr lang="hu-HU" sz="1100"/>
            <a:t>(HUF) </a:t>
          </a:r>
        </a:p>
      </xdr:txBody>
    </xdr:sp>
    <xdr:clientData/>
  </xdr:twoCellAnchor>
  <xdr:twoCellAnchor>
    <xdr:from>
      <xdr:col>1</xdr:col>
      <xdr:colOff>84666</xdr:colOff>
      <xdr:row>0</xdr:row>
      <xdr:rowOff>67733</xdr:rowOff>
    </xdr:from>
    <xdr:to>
      <xdr:col>1</xdr:col>
      <xdr:colOff>1345405</xdr:colOff>
      <xdr:row>0</xdr:row>
      <xdr:rowOff>357187</xdr:rowOff>
    </xdr:to>
    <xdr:sp macro="" textlink="">
      <xdr:nvSpPr>
        <xdr:cNvPr id="3" name="Téglalap: lekerekített 2">
          <a:hlinkClick xmlns:r="http://schemas.openxmlformats.org/officeDocument/2006/relationships" r:id="rId3"/>
          <a:extLst>
            <a:ext uri="{FF2B5EF4-FFF2-40B4-BE49-F238E27FC236}">
              <a16:creationId xmlns:a16="http://schemas.microsoft.com/office/drawing/2014/main" id="{09391763-3130-4226-BE20-0413FED5B9D9}"/>
            </a:ext>
          </a:extLst>
        </xdr:cNvPr>
        <xdr:cNvSpPr/>
      </xdr:nvSpPr>
      <xdr:spPr>
        <a:xfrm>
          <a:off x="3061229" y="67733"/>
          <a:ext cx="1260739" cy="289454"/>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Balance Sheet &gt;&gt;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2" name="Téglalap: lekerekített 1">
          <a:hlinkClick xmlns:r="http://schemas.openxmlformats.org/officeDocument/2006/relationships" r:id="rId1"/>
          <a:extLst>
            <a:ext uri="{FF2B5EF4-FFF2-40B4-BE49-F238E27FC236}">
              <a16:creationId xmlns:a16="http://schemas.microsoft.com/office/drawing/2014/main" id="{3D7FDFFC-EDFF-4026-92DE-E349AEACF682}"/>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2586011</xdr:colOff>
      <xdr:row>0</xdr:row>
      <xdr:rowOff>55636</xdr:rowOff>
    </xdr:from>
    <xdr:to>
      <xdr:col>0</xdr:col>
      <xdr:colOff>3533510</xdr:colOff>
      <xdr:row>0</xdr:row>
      <xdr:rowOff>341387</xdr:rowOff>
    </xdr:to>
    <xdr:sp macro="" textlink="">
      <xdr:nvSpPr>
        <xdr:cNvPr id="4" name="Téglalap: lekerekített 3">
          <a:hlinkClick xmlns:r="http://schemas.openxmlformats.org/officeDocument/2006/relationships" r:id="rId2"/>
          <a:extLst>
            <a:ext uri="{FF2B5EF4-FFF2-40B4-BE49-F238E27FC236}">
              <a16:creationId xmlns:a16="http://schemas.microsoft.com/office/drawing/2014/main" id="{03929C8A-668C-4612-AFFF-E5BFD5D9DA37}"/>
            </a:ext>
          </a:extLst>
        </xdr:cNvPr>
        <xdr:cNvSpPr/>
      </xdr:nvSpPr>
      <xdr:spPr>
        <a:xfrm>
          <a:off x="2586011" y="55636"/>
          <a:ext cx="947499"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Cash flow &gt;&gt;</a:t>
          </a:r>
        </a:p>
      </xdr:txBody>
    </xdr:sp>
    <xdr:clientData/>
  </xdr:twoCellAnchor>
  <xdr:twoCellAnchor>
    <xdr:from>
      <xdr:col>0</xdr:col>
      <xdr:colOff>1066801</xdr:colOff>
      <xdr:row>0</xdr:row>
      <xdr:rowOff>47625</xdr:rowOff>
    </xdr:from>
    <xdr:to>
      <xdr:col>0</xdr:col>
      <xdr:colOff>2514601</xdr:colOff>
      <xdr:row>0</xdr:row>
      <xdr:rowOff>333376</xdr:rowOff>
    </xdr:to>
    <xdr:sp macro="" textlink="">
      <xdr:nvSpPr>
        <xdr:cNvPr id="5" name="Téglalap: lekerekített 4">
          <a:hlinkClick xmlns:r="http://schemas.openxmlformats.org/officeDocument/2006/relationships" r:id="rId3"/>
          <a:extLst>
            <a:ext uri="{FF2B5EF4-FFF2-40B4-BE49-F238E27FC236}">
              <a16:creationId xmlns:a16="http://schemas.microsoft.com/office/drawing/2014/main" id="{82EBAD18-7996-4AE9-9AF1-2E9F08972DC2}"/>
            </a:ext>
          </a:extLst>
        </xdr:cNvPr>
        <xdr:cNvSpPr/>
      </xdr:nvSpPr>
      <xdr:spPr>
        <a:xfrm>
          <a:off x="1066801" y="47625"/>
          <a:ext cx="1447800"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hu-HU" sz="1100">
              <a:solidFill>
                <a:schemeClr val="lt1"/>
              </a:solidFill>
              <a:effectLst/>
              <a:latin typeface="+mn-lt"/>
              <a:ea typeface="+mn-ea"/>
              <a:cs typeface="+mn-cs"/>
            </a:rPr>
            <a:t>&lt;&lt; Profit &amp; Loss (EUR)</a:t>
          </a:r>
          <a:endParaRPr lang="hu-HU">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2" name="Téglalap: lekerekített 1">
          <a:hlinkClick xmlns:r="http://schemas.openxmlformats.org/officeDocument/2006/relationships" r:id="rId1"/>
          <a:extLst>
            <a:ext uri="{FF2B5EF4-FFF2-40B4-BE49-F238E27FC236}">
              <a16:creationId xmlns:a16="http://schemas.microsoft.com/office/drawing/2014/main" id="{EE9571BB-A7C7-4D42-A3F9-9E282B7C1E41}"/>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2348415</xdr:colOff>
      <xdr:row>0</xdr:row>
      <xdr:rowOff>47433</xdr:rowOff>
    </xdr:from>
    <xdr:to>
      <xdr:col>0</xdr:col>
      <xdr:colOff>3762639</xdr:colOff>
      <xdr:row>0</xdr:row>
      <xdr:rowOff>333184</xdr:rowOff>
    </xdr:to>
    <xdr:sp macro="" textlink="">
      <xdr:nvSpPr>
        <xdr:cNvPr id="3" name="Téglalap: lekerekített 2">
          <a:hlinkClick xmlns:r="http://schemas.openxmlformats.org/officeDocument/2006/relationships" r:id="rId2"/>
          <a:extLst>
            <a:ext uri="{FF2B5EF4-FFF2-40B4-BE49-F238E27FC236}">
              <a16:creationId xmlns:a16="http://schemas.microsoft.com/office/drawing/2014/main" id="{E6E61680-1295-43FA-BDE2-ED7CD589FC84}"/>
            </a:ext>
          </a:extLst>
        </xdr:cNvPr>
        <xdr:cNvSpPr/>
      </xdr:nvSpPr>
      <xdr:spPr>
        <a:xfrm>
          <a:off x="2348415" y="47433"/>
          <a:ext cx="1414224"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Changes in Equity &gt;&gt;</a:t>
          </a:r>
        </a:p>
      </xdr:txBody>
    </xdr:sp>
    <xdr:clientData/>
  </xdr:twoCellAnchor>
  <xdr:twoCellAnchor>
    <xdr:from>
      <xdr:col>0</xdr:col>
      <xdr:colOff>1066801</xdr:colOff>
      <xdr:row>0</xdr:row>
      <xdr:rowOff>38100</xdr:rowOff>
    </xdr:from>
    <xdr:to>
      <xdr:col>0</xdr:col>
      <xdr:colOff>2286001</xdr:colOff>
      <xdr:row>0</xdr:row>
      <xdr:rowOff>323851</xdr:rowOff>
    </xdr:to>
    <xdr:sp macro="" textlink="">
      <xdr:nvSpPr>
        <xdr:cNvPr id="9" name="Téglalap: lekerekített 8">
          <a:hlinkClick xmlns:r="http://schemas.openxmlformats.org/officeDocument/2006/relationships" r:id="rId3"/>
          <a:extLst>
            <a:ext uri="{FF2B5EF4-FFF2-40B4-BE49-F238E27FC236}">
              <a16:creationId xmlns:a16="http://schemas.microsoft.com/office/drawing/2014/main" id="{DB64DF04-6C24-4635-8F61-76F0A9BFC2D7}"/>
            </a:ext>
          </a:extLst>
        </xdr:cNvPr>
        <xdr:cNvSpPr/>
      </xdr:nvSpPr>
      <xdr:spPr>
        <a:xfrm>
          <a:off x="1066801" y="38100"/>
          <a:ext cx="1219200"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hu-HU" sz="1100">
              <a:solidFill>
                <a:schemeClr val="lt1"/>
              </a:solidFill>
              <a:effectLst/>
              <a:latin typeface="+mn-lt"/>
              <a:ea typeface="+mn-ea"/>
              <a:cs typeface="+mn-cs"/>
            </a:rPr>
            <a:t>&lt;&lt; Balance Sheet</a:t>
          </a:r>
          <a:endParaRPr lang="hu-HU">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83343</xdr:colOff>
      <xdr:row>0</xdr:row>
      <xdr:rowOff>47625</xdr:rowOff>
    </xdr:from>
    <xdr:to>
      <xdr:col>0</xdr:col>
      <xdr:colOff>1046427</xdr:colOff>
      <xdr:row>0</xdr:row>
      <xdr:rowOff>333376</xdr:rowOff>
    </xdr:to>
    <xdr:sp macro="" textlink="">
      <xdr:nvSpPr>
        <xdr:cNvPr id="3" name="Téglalap: lekerekített 2">
          <a:hlinkClick xmlns:r="http://schemas.openxmlformats.org/officeDocument/2006/relationships" r:id="rId1"/>
          <a:extLst>
            <a:ext uri="{FF2B5EF4-FFF2-40B4-BE49-F238E27FC236}">
              <a16:creationId xmlns:a16="http://schemas.microsoft.com/office/drawing/2014/main" id="{6AE6A19D-FC1A-402C-A086-FB6EAE6B3BAB}"/>
            </a:ext>
          </a:extLst>
        </xdr:cNvPr>
        <xdr:cNvSpPr/>
      </xdr:nvSpPr>
      <xdr:spPr>
        <a:xfrm>
          <a:off x="83343" y="47625"/>
          <a:ext cx="963084"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endParaRPr lang="hu-HU" sz="1100" baseline="0"/>
        </a:p>
      </xdr:txBody>
    </xdr:sp>
    <xdr:clientData/>
  </xdr:twoCellAnchor>
  <xdr:twoCellAnchor>
    <xdr:from>
      <xdr:col>0</xdr:col>
      <xdr:colOff>2222283</xdr:colOff>
      <xdr:row>0</xdr:row>
      <xdr:rowOff>40822</xdr:rowOff>
    </xdr:from>
    <xdr:to>
      <xdr:col>0</xdr:col>
      <xdr:colOff>4426324</xdr:colOff>
      <xdr:row>0</xdr:row>
      <xdr:rowOff>326573</xdr:rowOff>
    </xdr:to>
    <xdr:sp macro="" textlink="">
      <xdr:nvSpPr>
        <xdr:cNvPr id="2" name="Téglalap: lekerekített 1">
          <a:hlinkClick xmlns:r="http://schemas.openxmlformats.org/officeDocument/2006/relationships" r:id="rId2"/>
          <a:extLst>
            <a:ext uri="{FF2B5EF4-FFF2-40B4-BE49-F238E27FC236}">
              <a16:creationId xmlns:a16="http://schemas.microsoft.com/office/drawing/2014/main" id="{6903B1AF-B9E5-453A-B39C-E2F5FEBF9E9B}"/>
            </a:ext>
          </a:extLst>
        </xdr:cNvPr>
        <xdr:cNvSpPr/>
      </xdr:nvSpPr>
      <xdr:spPr>
        <a:xfrm>
          <a:off x="2222283" y="40822"/>
          <a:ext cx="2204041"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Financial income and expenses &gt;&gt;</a:t>
          </a:r>
        </a:p>
      </xdr:txBody>
    </xdr:sp>
    <xdr:clientData/>
  </xdr:twoCellAnchor>
  <xdr:twoCellAnchor>
    <xdr:from>
      <xdr:col>0</xdr:col>
      <xdr:colOff>1153432</xdr:colOff>
      <xdr:row>0</xdr:row>
      <xdr:rowOff>47077</xdr:rowOff>
    </xdr:from>
    <xdr:to>
      <xdr:col>0</xdr:col>
      <xdr:colOff>2106706</xdr:colOff>
      <xdr:row>0</xdr:row>
      <xdr:rowOff>332828</xdr:rowOff>
    </xdr:to>
    <xdr:sp macro="" textlink="">
      <xdr:nvSpPr>
        <xdr:cNvPr id="4" name="Téglalap: lekerekített 3">
          <a:hlinkClick xmlns:r="http://schemas.openxmlformats.org/officeDocument/2006/relationships" r:id="rId3"/>
          <a:extLst>
            <a:ext uri="{FF2B5EF4-FFF2-40B4-BE49-F238E27FC236}">
              <a16:creationId xmlns:a16="http://schemas.microsoft.com/office/drawing/2014/main" id="{3F12389F-D1F4-4113-8473-07C4E44C4982}"/>
            </a:ext>
          </a:extLst>
        </xdr:cNvPr>
        <xdr:cNvSpPr/>
      </xdr:nvSpPr>
      <xdr:spPr>
        <a:xfrm>
          <a:off x="1153432" y="47077"/>
          <a:ext cx="953274"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Cash flow</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4" name="Téglalap: lekerekített 3">
          <a:hlinkClick xmlns:r="http://schemas.openxmlformats.org/officeDocument/2006/relationships" r:id="rId1"/>
          <a:extLst>
            <a:ext uri="{FF2B5EF4-FFF2-40B4-BE49-F238E27FC236}">
              <a16:creationId xmlns:a16="http://schemas.microsoft.com/office/drawing/2014/main" id="{B0798B75-661C-44CE-AF85-6BEEC2B0FC94}"/>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2609850</xdr:colOff>
      <xdr:row>0</xdr:row>
      <xdr:rowOff>47625</xdr:rowOff>
    </xdr:from>
    <xdr:to>
      <xdr:col>0</xdr:col>
      <xdr:colOff>4730750</xdr:colOff>
      <xdr:row>0</xdr:row>
      <xdr:rowOff>333376</xdr:rowOff>
    </xdr:to>
    <xdr:sp macro="" textlink="">
      <xdr:nvSpPr>
        <xdr:cNvPr id="2" name="Téglalap: lekerekített 1">
          <a:hlinkClick xmlns:r="http://schemas.openxmlformats.org/officeDocument/2006/relationships" r:id="rId2"/>
          <a:extLst>
            <a:ext uri="{FF2B5EF4-FFF2-40B4-BE49-F238E27FC236}">
              <a16:creationId xmlns:a16="http://schemas.microsoft.com/office/drawing/2014/main" id="{29A7136A-F493-4205-8078-4537C55D17D2}"/>
            </a:ext>
          </a:extLst>
        </xdr:cNvPr>
        <xdr:cNvSpPr/>
      </xdr:nvSpPr>
      <xdr:spPr>
        <a:xfrm>
          <a:off x="2609850" y="47625"/>
          <a:ext cx="2120900"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Business segment information &gt;&gt;</a:t>
          </a:r>
        </a:p>
      </xdr:txBody>
    </xdr:sp>
    <xdr:clientData/>
  </xdr:twoCellAnchor>
  <xdr:twoCellAnchor>
    <xdr:from>
      <xdr:col>0</xdr:col>
      <xdr:colOff>1060448</xdr:colOff>
      <xdr:row>0</xdr:row>
      <xdr:rowOff>47530</xdr:rowOff>
    </xdr:from>
    <xdr:to>
      <xdr:col>0</xdr:col>
      <xdr:colOff>2495549</xdr:colOff>
      <xdr:row>0</xdr:row>
      <xdr:rowOff>333281</xdr:rowOff>
    </xdr:to>
    <xdr:sp macro="" textlink="">
      <xdr:nvSpPr>
        <xdr:cNvPr id="3" name="Téglalap: lekerekített 2">
          <a:hlinkClick xmlns:r="http://schemas.openxmlformats.org/officeDocument/2006/relationships" r:id="rId3"/>
          <a:extLst>
            <a:ext uri="{FF2B5EF4-FFF2-40B4-BE49-F238E27FC236}">
              <a16:creationId xmlns:a16="http://schemas.microsoft.com/office/drawing/2014/main" id="{252EFFE9-F472-4D56-866C-51DD8316840D}"/>
            </a:ext>
          </a:extLst>
        </xdr:cNvPr>
        <xdr:cNvSpPr/>
      </xdr:nvSpPr>
      <xdr:spPr>
        <a:xfrm>
          <a:off x="1060448" y="47530"/>
          <a:ext cx="1435101"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Changes in Equity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31749</xdr:colOff>
      <xdr:row>0</xdr:row>
      <xdr:rowOff>38005</xdr:rowOff>
    </xdr:from>
    <xdr:to>
      <xdr:col>0</xdr:col>
      <xdr:colOff>952501</xdr:colOff>
      <xdr:row>0</xdr:row>
      <xdr:rowOff>323756</xdr:rowOff>
    </xdr:to>
    <xdr:sp macro="" textlink="">
      <xdr:nvSpPr>
        <xdr:cNvPr id="5" name="Téglalap: lekerekített 4">
          <a:hlinkClick xmlns:r="http://schemas.openxmlformats.org/officeDocument/2006/relationships" r:id="rId1"/>
          <a:extLst>
            <a:ext uri="{FF2B5EF4-FFF2-40B4-BE49-F238E27FC236}">
              <a16:creationId xmlns:a16="http://schemas.microsoft.com/office/drawing/2014/main" id="{FFE79FBF-63A5-494A-BA51-593ACD765FB4}"/>
            </a:ext>
          </a:extLst>
        </xdr:cNvPr>
        <xdr:cNvSpPr/>
      </xdr:nvSpPr>
      <xdr:spPr>
        <a:xfrm>
          <a:off x="641349" y="38005"/>
          <a:ext cx="920752"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Contents</a:t>
          </a:r>
        </a:p>
      </xdr:txBody>
    </xdr:sp>
    <xdr:clientData/>
  </xdr:twoCellAnchor>
  <xdr:twoCellAnchor>
    <xdr:from>
      <xdr:col>0</xdr:col>
      <xdr:colOff>1074978</xdr:colOff>
      <xdr:row>0</xdr:row>
      <xdr:rowOff>37908</xdr:rowOff>
    </xdr:from>
    <xdr:to>
      <xdr:col>0</xdr:col>
      <xdr:colOff>3228976</xdr:colOff>
      <xdr:row>0</xdr:row>
      <xdr:rowOff>323659</xdr:rowOff>
    </xdr:to>
    <xdr:sp macro="" textlink="">
      <xdr:nvSpPr>
        <xdr:cNvPr id="6" name="Téglalap: lekerekített 5">
          <a:hlinkClick xmlns:r="http://schemas.openxmlformats.org/officeDocument/2006/relationships" r:id="rId2"/>
          <a:extLst>
            <a:ext uri="{FF2B5EF4-FFF2-40B4-BE49-F238E27FC236}">
              <a16:creationId xmlns:a16="http://schemas.microsoft.com/office/drawing/2014/main" id="{33ECDB18-6093-4C7B-8909-D90089B1331B}"/>
            </a:ext>
          </a:extLst>
        </xdr:cNvPr>
        <xdr:cNvSpPr/>
      </xdr:nvSpPr>
      <xdr:spPr>
        <a:xfrm>
          <a:off x="1074978" y="37908"/>
          <a:ext cx="2153998" cy="28575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&lt;&lt; Financial income and expenses </a:t>
          </a:r>
        </a:p>
      </xdr:txBody>
    </xdr:sp>
    <xdr:clientData/>
  </xdr:twoCellAnchor>
  <xdr:twoCellAnchor>
    <xdr:from>
      <xdr:col>1</xdr:col>
      <xdr:colOff>47127</xdr:colOff>
      <xdr:row>0</xdr:row>
      <xdr:rowOff>45748</xdr:rowOff>
    </xdr:from>
    <xdr:to>
      <xdr:col>1</xdr:col>
      <xdr:colOff>675296</xdr:colOff>
      <xdr:row>0</xdr:row>
      <xdr:rowOff>335869</xdr:rowOff>
    </xdr:to>
    <xdr:sp macro="" textlink="">
      <xdr:nvSpPr>
        <xdr:cNvPr id="7" name="Téglalap: lekerekített 6">
          <a:hlinkClick xmlns:r="http://schemas.openxmlformats.org/officeDocument/2006/relationships" r:id="rId3"/>
          <a:extLst>
            <a:ext uri="{FF2B5EF4-FFF2-40B4-BE49-F238E27FC236}">
              <a16:creationId xmlns:a16="http://schemas.microsoft.com/office/drawing/2014/main" id="{7C36A712-41D7-4227-BB48-7C1809903A3B}"/>
            </a:ext>
          </a:extLst>
        </xdr:cNvPr>
        <xdr:cNvSpPr/>
      </xdr:nvSpPr>
      <xdr:spPr>
        <a:xfrm>
          <a:off x="3380877" y="45748"/>
          <a:ext cx="628169" cy="290121"/>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u-HU" sz="1100"/>
            <a:t>CNS &gt;&gt;</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6B372-74F0-4110-972C-8A2B4E5AC0FF}">
  <sheetPr codeName="Munka2">
    <tabColor theme="4"/>
    <pageSetUpPr fitToPage="1"/>
  </sheetPr>
  <dimension ref="A1:N27"/>
  <sheetViews>
    <sheetView zoomScale="75" zoomScaleNormal="75" workbookViewId="0">
      <selection activeCell="K2" sqref="K2"/>
    </sheetView>
  </sheetViews>
  <sheetFormatPr defaultColWidth="9.1796875" defaultRowHeight="14.5" x14ac:dyDescent="0.35"/>
  <cols>
    <col min="4" max="4" width="20.1796875" customWidth="1"/>
    <col min="11" max="13" width="11.81640625" customWidth="1"/>
  </cols>
  <sheetData>
    <row r="1" spans="1:14" x14ac:dyDescent="0.35">
      <c r="A1" s="68"/>
      <c r="B1" s="69"/>
      <c r="C1" s="69"/>
      <c r="D1" s="69"/>
      <c r="E1" s="69"/>
      <c r="F1" s="69"/>
      <c r="G1" s="69"/>
      <c r="H1" s="69"/>
      <c r="I1" s="69"/>
      <c r="J1" s="69"/>
      <c r="K1" s="69"/>
      <c r="L1" s="69"/>
      <c r="M1" s="69"/>
      <c r="N1" s="70"/>
    </row>
    <row r="2" spans="1:14" ht="21" x14ac:dyDescent="0.35">
      <c r="A2" s="71"/>
      <c r="B2" s="72"/>
      <c r="C2" s="72"/>
      <c r="D2" s="72"/>
      <c r="E2" s="72"/>
      <c r="F2" s="72"/>
      <c r="G2" s="72"/>
      <c r="H2" s="72"/>
      <c r="I2" s="72"/>
      <c r="J2" s="72"/>
      <c r="K2" s="63" t="s">
        <v>1166</v>
      </c>
      <c r="L2" s="63"/>
      <c r="M2" s="63"/>
      <c r="N2" s="73"/>
    </row>
    <row r="3" spans="1:14" x14ac:dyDescent="0.35">
      <c r="A3" s="71"/>
      <c r="B3" s="72"/>
      <c r="C3" s="72"/>
      <c r="D3" s="72"/>
      <c r="E3" s="72"/>
      <c r="F3" s="72"/>
      <c r="G3" s="72"/>
      <c r="H3" s="72"/>
      <c r="I3" s="72"/>
      <c r="J3" s="72"/>
      <c r="K3" s="72"/>
      <c r="L3" s="72"/>
      <c r="M3" s="72"/>
      <c r="N3" s="73"/>
    </row>
    <row r="4" spans="1:14" ht="26" x14ac:dyDescent="0.6">
      <c r="A4" s="469" t="s">
        <v>0</v>
      </c>
      <c r="B4" s="470"/>
      <c r="C4" s="470"/>
      <c r="D4" s="470"/>
      <c r="E4" s="470"/>
      <c r="F4" s="470"/>
      <c r="G4" s="470"/>
      <c r="H4" s="470"/>
      <c r="I4" s="470"/>
      <c r="J4" s="470"/>
      <c r="K4" s="470"/>
      <c r="L4" s="470"/>
      <c r="M4" s="470"/>
      <c r="N4" s="471"/>
    </row>
    <row r="5" spans="1:14" x14ac:dyDescent="0.35">
      <c r="A5" s="71"/>
      <c r="B5" s="72"/>
      <c r="C5" s="72"/>
      <c r="D5" s="72"/>
      <c r="E5" s="72"/>
      <c r="F5" s="72"/>
      <c r="G5" s="72"/>
      <c r="H5" s="72"/>
      <c r="I5" s="72"/>
      <c r="J5" s="72"/>
      <c r="K5" s="72"/>
      <c r="L5" s="72"/>
      <c r="M5" s="72"/>
      <c r="N5" s="73"/>
    </row>
    <row r="6" spans="1:14" ht="18.5" x14ac:dyDescent="0.45">
      <c r="A6" s="71"/>
      <c r="B6" s="40" t="s">
        <v>1</v>
      </c>
      <c r="C6" s="77"/>
      <c r="D6" s="77"/>
      <c r="E6" s="77"/>
      <c r="F6" s="77"/>
      <c r="G6" s="77"/>
      <c r="H6" s="77"/>
      <c r="I6" s="77"/>
      <c r="J6" s="77"/>
      <c r="K6" s="77"/>
      <c r="L6" s="77"/>
      <c r="M6" s="77"/>
      <c r="N6" s="78"/>
    </row>
    <row r="7" spans="1:14" ht="18.5" x14ac:dyDescent="0.45">
      <c r="A7" s="71"/>
      <c r="B7" s="472"/>
      <c r="C7" s="472"/>
      <c r="D7" s="472"/>
      <c r="E7" s="472"/>
      <c r="F7" s="472"/>
      <c r="G7" s="472"/>
      <c r="H7" s="472"/>
      <c r="I7" s="472"/>
      <c r="J7" s="40"/>
      <c r="K7" s="40"/>
      <c r="L7" s="40"/>
      <c r="M7" s="40"/>
      <c r="N7" s="79"/>
    </row>
    <row r="8" spans="1:14" ht="18.5" x14ac:dyDescent="0.45">
      <c r="A8" s="71"/>
      <c r="B8" s="90" t="s">
        <v>2</v>
      </c>
      <c r="C8" s="90"/>
      <c r="D8" s="90"/>
      <c r="E8" s="90"/>
      <c r="F8" s="90" t="s">
        <v>3</v>
      </c>
      <c r="G8" s="90"/>
      <c r="H8" s="90"/>
      <c r="I8" s="90"/>
      <c r="J8" s="90"/>
      <c r="K8" s="90"/>
      <c r="L8" s="90"/>
      <c r="M8" s="90"/>
      <c r="N8" s="121"/>
    </row>
    <row r="9" spans="1:14" ht="18.5" x14ac:dyDescent="0.45">
      <c r="A9" s="71"/>
      <c r="B9" s="90" t="s">
        <v>4</v>
      </c>
      <c r="C9" s="90"/>
      <c r="D9" s="90"/>
      <c r="E9" s="90"/>
      <c r="F9" s="90" t="s">
        <v>5</v>
      </c>
      <c r="G9" s="90"/>
      <c r="H9" s="90"/>
      <c r="I9" s="90"/>
      <c r="J9" s="90"/>
      <c r="K9" s="90"/>
      <c r="L9" s="90"/>
      <c r="M9" s="90"/>
      <c r="N9" s="121"/>
    </row>
    <row r="10" spans="1:14" ht="18.5" x14ac:dyDescent="0.45">
      <c r="A10" s="71"/>
      <c r="B10" s="90" t="s">
        <v>6</v>
      </c>
      <c r="C10" s="90"/>
      <c r="D10" s="90"/>
      <c r="E10" s="90"/>
      <c r="F10" s="90" t="s">
        <v>7</v>
      </c>
      <c r="G10" s="90"/>
      <c r="H10" s="90"/>
      <c r="I10" s="90"/>
      <c r="J10" s="90"/>
      <c r="K10" s="90"/>
      <c r="L10" s="90"/>
      <c r="M10" s="90"/>
      <c r="N10" s="121"/>
    </row>
    <row r="11" spans="1:14" ht="18.5" x14ac:dyDescent="0.45">
      <c r="A11" s="71"/>
      <c r="B11" s="90" t="s">
        <v>8</v>
      </c>
      <c r="C11" s="90"/>
      <c r="D11" s="90"/>
      <c r="E11" s="90"/>
      <c r="F11" s="90" t="s">
        <v>9</v>
      </c>
      <c r="G11" s="90"/>
      <c r="H11" s="90"/>
      <c r="I11" s="90"/>
      <c r="J11" s="90"/>
      <c r="K11" s="90"/>
      <c r="L11" s="90"/>
      <c r="M11" s="90"/>
      <c r="N11" s="121"/>
    </row>
    <row r="12" spans="1:14" ht="18.5" x14ac:dyDescent="0.45">
      <c r="A12" s="71"/>
      <c r="B12" s="90" t="s">
        <v>10</v>
      </c>
      <c r="C12" s="90"/>
      <c r="D12" s="90"/>
      <c r="E12" s="90"/>
      <c r="F12" s="90" t="s">
        <v>9</v>
      </c>
      <c r="G12" s="120"/>
      <c r="H12" s="120"/>
      <c r="I12" s="120"/>
      <c r="J12" s="120"/>
      <c r="K12" s="120"/>
      <c r="L12" s="120"/>
      <c r="M12" s="120"/>
      <c r="N12" s="122"/>
    </row>
    <row r="13" spans="1:14" ht="18.5" x14ac:dyDescent="0.45">
      <c r="A13" s="71"/>
      <c r="B13" s="90" t="s">
        <v>11</v>
      </c>
      <c r="C13" s="90"/>
      <c r="D13" s="90"/>
      <c r="E13" s="90"/>
      <c r="F13" s="90" t="s">
        <v>9</v>
      </c>
      <c r="G13" s="120"/>
      <c r="H13" s="120"/>
      <c r="I13" s="120"/>
      <c r="J13" s="120"/>
      <c r="K13" s="120"/>
      <c r="L13" s="120"/>
      <c r="M13" s="120"/>
      <c r="N13" s="122"/>
    </row>
    <row r="14" spans="1:14" ht="18.5" x14ac:dyDescent="0.45">
      <c r="A14" s="71"/>
      <c r="B14" s="90" t="s">
        <v>12</v>
      </c>
      <c r="C14" s="90"/>
      <c r="D14" s="90"/>
      <c r="E14" s="90"/>
      <c r="F14" s="90" t="s">
        <v>13</v>
      </c>
      <c r="G14" s="120"/>
      <c r="H14" s="120"/>
      <c r="I14" s="120"/>
      <c r="J14" s="120"/>
      <c r="K14" s="120"/>
      <c r="L14" s="120"/>
      <c r="M14" s="120"/>
      <c r="N14" s="122"/>
    </row>
    <row r="15" spans="1:14" ht="18.5" x14ac:dyDescent="0.45">
      <c r="A15" s="71"/>
      <c r="B15" s="90" t="s">
        <v>14</v>
      </c>
      <c r="C15" s="90"/>
      <c r="D15" s="90"/>
      <c r="E15" s="90"/>
      <c r="F15" s="90" t="s">
        <v>15</v>
      </c>
      <c r="G15" s="120"/>
      <c r="H15" s="120"/>
      <c r="I15" s="120"/>
      <c r="J15" s="120"/>
      <c r="K15" s="120"/>
      <c r="L15" s="120"/>
      <c r="M15" s="120"/>
      <c r="N15" s="122"/>
    </row>
    <row r="16" spans="1:14" ht="18.5" x14ac:dyDescent="0.45">
      <c r="A16" s="71"/>
      <c r="B16" s="90" t="s">
        <v>16</v>
      </c>
      <c r="C16" s="90"/>
      <c r="D16" s="90"/>
      <c r="E16" s="90"/>
      <c r="F16" s="90" t="s">
        <v>17</v>
      </c>
      <c r="G16" s="120"/>
      <c r="H16" s="120"/>
      <c r="I16" s="120"/>
      <c r="J16" s="120"/>
      <c r="K16" s="120"/>
      <c r="L16" s="120"/>
      <c r="M16" s="120"/>
      <c r="N16" s="122"/>
    </row>
    <row r="17" spans="1:14" ht="18.5" x14ac:dyDescent="0.45">
      <c r="A17" s="71"/>
      <c r="B17" s="90" t="s">
        <v>18</v>
      </c>
      <c r="C17" s="90"/>
      <c r="D17" s="90"/>
      <c r="E17" s="90"/>
      <c r="F17" s="90" t="s">
        <v>19</v>
      </c>
      <c r="G17" s="120"/>
      <c r="H17" s="120"/>
      <c r="I17" s="120"/>
      <c r="J17" s="120"/>
      <c r="K17" s="120"/>
      <c r="L17" s="120"/>
      <c r="M17" s="120"/>
      <c r="N17" s="122"/>
    </row>
    <row r="18" spans="1:14" ht="18.5" x14ac:dyDescent="0.45">
      <c r="A18" s="71"/>
      <c r="B18" s="90" t="s">
        <v>20</v>
      </c>
      <c r="C18" s="90"/>
      <c r="D18" s="90"/>
      <c r="E18" s="90"/>
      <c r="F18" s="90" t="s">
        <v>21</v>
      </c>
      <c r="G18" s="120"/>
      <c r="H18" s="120"/>
      <c r="I18" s="120"/>
      <c r="J18" s="120"/>
      <c r="K18" s="120"/>
      <c r="L18" s="120"/>
      <c r="M18" s="120"/>
      <c r="N18" s="122"/>
    </row>
    <row r="19" spans="1:14" ht="18.5" x14ac:dyDescent="0.45">
      <c r="A19" s="71"/>
      <c r="B19" s="90" t="s">
        <v>22</v>
      </c>
      <c r="C19" s="90"/>
      <c r="D19" s="90"/>
      <c r="E19" s="90"/>
      <c r="F19" s="90" t="s">
        <v>23</v>
      </c>
      <c r="G19" s="120"/>
      <c r="H19" s="120"/>
      <c r="I19" s="120"/>
      <c r="J19" s="120"/>
      <c r="K19" s="120"/>
      <c r="L19" s="120"/>
      <c r="M19" s="120"/>
      <c r="N19" s="122"/>
    </row>
    <row r="20" spans="1:14" ht="18.5" x14ac:dyDescent="0.45">
      <c r="A20" s="71"/>
      <c r="B20" s="90" t="s">
        <v>24</v>
      </c>
      <c r="C20" s="90"/>
      <c r="D20" s="90"/>
      <c r="E20" s="90"/>
      <c r="F20" s="90" t="s">
        <v>25</v>
      </c>
      <c r="G20" s="120"/>
      <c r="H20" s="120"/>
      <c r="I20" s="120"/>
      <c r="J20" s="120"/>
      <c r="K20" s="120"/>
      <c r="L20" s="120"/>
      <c r="M20" s="120"/>
      <c r="N20" s="122"/>
    </row>
    <row r="21" spans="1:14" ht="18.5" x14ac:dyDescent="0.45">
      <c r="A21" s="71"/>
      <c r="B21" s="90" t="s">
        <v>26</v>
      </c>
      <c r="C21" s="90"/>
      <c r="D21" s="90"/>
      <c r="E21" s="90"/>
      <c r="F21" s="90"/>
      <c r="G21" s="120"/>
      <c r="H21" s="120"/>
      <c r="I21" s="120"/>
      <c r="J21" s="120"/>
      <c r="K21" s="120"/>
      <c r="L21" s="120"/>
      <c r="M21" s="120"/>
      <c r="N21" s="122"/>
    </row>
    <row r="22" spans="1:14" ht="18.5" x14ac:dyDescent="0.45">
      <c r="A22" s="71"/>
      <c r="B22" s="90" t="s">
        <v>27</v>
      </c>
      <c r="C22" s="90"/>
      <c r="D22" s="90"/>
      <c r="E22" s="90"/>
      <c r="F22" s="90" t="s">
        <v>28</v>
      </c>
      <c r="G22" s="120"/>
      <c r="H22" s="120"/>
      <c r="I22" s="120"/>
      <c r="J22" s="120"/>
      <c r="K22" s="120"/>
      <c r="L22" s="120"/>
      <c r="M22" s="120"/>
      <c r="N22" s="122"/>
    </row>
    <row r="23" spans="1:14" ht="18.5" x14ac:dyDescent="0.45">
      <c r="A23" s="71"/>
      <c r="B23" s="90" t="s">
        <v>29</v>
      </c>
      <c r="C23" s="90"/>
      <c r="D23" s="90"/>
      <c r="E23" s="90"/>
      <c r="F23" s="90" t="s">
        <v>30</v>
      </c>
      <c r="G23" s="90"/>
      <c r="H23" s="90"/>
      <c r="I23" s="90"/>
      <c r="J23" s="90"/>
      <c r="K23" s="90"/>
      <c r="L23" s="90"/>
      <c r="M23" s="90"/>
      <c r="N23" s="121"/>
    </row>
    <row r="24" spans="1:14" ht="18.5" x14ac:dyDescent="0.45">
      <c r="A24" s="71"/>
      <c r="B24" s="90" t="s">
        <v>31</v>
      </c>
      <c r="C24" s="90"/>
      <c r="D24" s="90"/>
      <c r="E24" s="90"/>
      <c r="F24" s="90" t="s">
        <v>32</v>
      </c>
      <c r="G24" s="90"/>
      <c r="H24" s="90"/>
      <c r="I24" s="90"/>
      <c r="J24" s="90"/>
      <c r="K24" s="90"/>
      <c r="L24" s="90"/>
      <c r="M24" s="90"/>
      <c r="N24" s="121"/>
    </row>
    <row r="25" spans="1:14" ht="18.5" x14ac:dyDescent="0.45">
      <c r="A25" s="71"/>
      <c r="B25" s="90" t="s">
        <v>33</v>
      </c>
      <c r="C25" s="90"/>
      <c r="D25" s="90"/>
      <c r="E25" s="90"/>
      <c r="F25" s="90"/>
      <c r="G25" s="90"/>
      <c r="H25" s="90"/>
      <c r="I25" s="90"/>
      <c r="J25" s="90"/>
      <c r="K25" s="90"/>
      <c r="L25" s="90"/>
      <c r="M25" s="90"/>
      <c r="N25" s="121"/>
    </row>
    <row r="26" spans="1:14" ht="18.5" x14ac:dyDescent="0.45">
      <c r="A26" s="71" t="s">
        <v>34</v>
      </c>
      <c r="B26" s="467"/>
      <c r="C26" s="467"/>
      <c r="D26" s="467"/>
      <c r="E26" s="467"/>
      <c r="F26" s="467"/>
      <c r="G26" s="467"/>
      <c r="H26" s="467"/>
      <c r="I26" s="467"/>
      <c r="J26" s="467"/>
      <c r="K26" s="467"/>
      <c r="L26" s="467"/>
      <c r="M26" s="467"/>
      <c r="N26" s="468"/>
    </row>
    <row r="27" spans="1:14" x14ac:dyDescent="0.35">
      <c r="A27" s="74"/>
      <c r="B27" s="75"/>
      <c r="C27" s="75"/>
      <c r="D27" s="75"/>
      <c r="E27" s="75"/>
      <c r="F27" s="75"/>
      <c r="G27" s="75"/>
      <c r="H27" s="75"/>
      <c r="I27" s="75"/>
      <c r="J27" s="75"/>
      <c r="K27" s="75"/>
      <c r="L27" s="75"/>
      <c r="M27" s="75"/>
      <c r="N27" s="76"/>
    </row>
  </sheetData>
  <mergeCells count="3">
    <mergeCell ref="B26:N26"/>
    <mergeCell ref="A4:N4"/>
    <mergeCell ref="B7:I7"/>
  </mergeCells>
  <hyperlinks>
    <hyperlink ref="B22:D22" location="'9. Regional mapping'!A1" display="9. Regional mapping" xr:uid="{9B81A0CE-954F-40FF-A54E-07431F567371}"/>
    <hyperlink ref="B21:D21" location="'9. Regional mapping'!A1" display="9. Regional mapping" xr:uid="{071A3F06-19CC-430E-B1ED-B2C8046C4DA1}"/>
    <hyperlink ref="B20:D20" location="'9. Regional mapping'!A1" display="9. Regional mapping" xr:uid="{5CAB7ED0-0745-4C8F-8BB2-EAAF951F50CF}"/>
    <hyperlink ref="B22" location="'7. Regional mapping'!A1" display="7. Regional mapping" xr:uid="{C058A087-D74E-444B-BA85-C1437FFB530D}"/>
    <hyperlink ref="B21" location="'7. Regional mapping'!A1" display="7. Regional mapping" xr:uid="{F593F70F-B585-4C67-A80B-FFC95F9D114F}"/>
    <hyperlink ref="B20" location="'7. Regional mapping'!A1" display="7. Regional mapping" xr:uid="{DB0C6B98-77F1-4B38-959E-DC52952CBAD1}"/>
    <hyperlink ref="B19" location="'6. Revenue per Top products'!A1" display="6. Revenue per Top products (quaterly, HUF)" xr:uid="{19F5EE45-B460-4F8A-B8BF-DC3168CBD0E2}"/>
    <hyperlink ref="B18" location="'6. Revenue per Top products'!A1" display="6. Revenue per Top products (quaterly, HUF)" xr:uid="{A41098E0-2453-4C27-BE4F-CED313AE90C1}"/>
    <hyperlink ref="B17" location="'6. Revenue per Top products'!A1" display="6. Revenue per Top products (quaterly, HUF)" xr:uid="{204447B9-FDB4-40B4-BD17-B40A15F3F200}"/>
    <hyperlink ref="B16" location="'6. Revenue per Top products'!A1" display="6. Revenue per Top products (quaterly, HUF)" xr:uid="{7F533AA8-C091-44FA-9B01-74A4B4696079}"/>
    <hyperlink ref="B10:I10" location="'2. Profit and Loss'!A1" display="2. Profit and Loss (consolidated and Pharma segment, quaterly, IFRS, HUF)" xr:uid="{23E4A5DF-EA8D-48F4-97DC-989364B713FE}"/>
    <hyperlink ref="B10" location="'1. Profit and Loss'!A1" display="1. Profit and Loss (consolidated, quaterly, IFRS, HUF)" xr:uid="{6904BC78-7FC3-43CD-8FBC-F73025633956}"/>
    <hyperlink ref="B9:I9" location="'2. Profit and Loss'!A1" display="2. Profit and Loss (consolidated and Pharma segment, quaterly, IFRS, HUF)" xr:uid="{6EEC6FF7-9C3E-4B57-BA1B-90232C9CE272}"/>
    <hyperlink ref="B9" location="'1. Profit and Loss'!A1" display="1. Profit and Loss (consolidated, quaterly, IFRS, HUF)" xr:uid="{E50A9770-576F-416F-99C5-DCD94647F1AD}"/>
    <hyperlink ref="B8:I8" location="'2. Profit and Loss'!A1" display="2. Profit and Loss (consolidated and Pharma segment, quaterly, IFRS, HUF)" xr:uid="{05EBC93B-BEF5-47CA-AEB7-EC69F924994C}"/>
    <hyperlink ref="B8" location="'1. Profit and Loss'!A1" display="1. Profit and Loss (consolidated, quaterly, IFRS, HUF)" xr:uid="{8AE6ECEA-7693-4E62-A9E6-18ED3C926C3E}"/>
    <hyperlink ref="B11:G11" location="'3. Balance Sheet'!A1" display="3. Balance Sheet (consolidated, quaterly, IFRS, HUF)" xr:uid="{04E3C521-D046-4BDA-88D7-3207970B422F}"/>
    <hyperlink ref="B24:C24" location="'10. FX rates '!A1" display="10. FX rates " xr:uid="{5CA5CA9B-9308-4228-8CD9-E5347C945D72}"/>
    <hyperlink ref="B23:D23" location="'9. Regional mapping'!A1" display="9. Regional mapping" xr:uid="{34ECD115-543E-45FC-BFB7-53DEEE1AF0B2}"/>
    <hyperlink ref="B13" location="'4. Pharma revenue per Region'!A1" display="4. Pharma revenue per Region" xr:uid="{0A6779AF-F40D-4B3D-944A-63271954FE2F}"/>
    <hyperlink ref="B24" location="Note!A1" display="Note1 " xr:uid="{A6BDA1A0-F816-4F90-8339-E84642A28035}"/>
    <hyperlink ref="B23" location="'7. Regional mapping'!A1" display="7. Regional mapping" xr:uid="{9F66FEB5-619A-4F5F-A813-D01BBB01CA4D}"/>
    <hyperlink ref="B15" location="'5. Revenue per Top countries'!A1" display="5. Revenue per Top countries (quaterly, HUF)" xr:uid="{A11EF2BA-5A90-49BF-9B21-40EC957E3D32}"/>
    <hyperlink ref="B12" location="'3. cEBIT per Focus Area'!A1" display="3. Clean EBIT by focus areas (consolidated, quaterly, managemant accounting, HUF)" xr:uid="{5632A4BF-F6D5-4611-A773-84FA6426E433}"/>
    <hyperlink ref="B11" location="'2. Balance Sheet'!A1" display="2. Balance Sheet (consolidated, quaterly, IFRS, HUF)" xr:uid="{9E1E1572-4BCF-404B-8E6C-008F0FC92C2E}"/>
    <hyperlink ref="B8:N8" location="'Financial Highlights'!A1" display="1. Financial Highlights (Selected consolidated business metrics, Pharma segment revenues by region)" xr:uid="{7B4207CE-115D-4417-9773-86DC341F98E4}"/>
    <hyperlink ref="B9:N9" location="'P&amp;L (HUF)'!A1" display="2. Profit and Loss (Consolidated, Comprehensive Income, IFRS, HUF)" xr:uid="{6978D36C-3BAF-4953-BBA4-BE9B2ECFF936}"/>
    <hyperlink ref="B10:N10" location="'P&amp;L (EUR)'!A1" display="3. Profit and Loss (Consolidated, Comprehensive Income, IFRS, EUR)" xr:uid="{F8F80165-7F02-4C94-BA70-32390DED6DFE}"/>
    <hyperlink ref="B11:N11" location="BS!A1" display="4. Balance Sheet " xr:uid="{F1659410-38B6-4670-A09C-3CB5260E1225}"/>
    <hyperlink ref="B22:N22" location="'BU description'!A1" display="15. BU description" xr:uid="{56AB2613-A8B8-44B1-80E0-0EA654242876}"/>
    <hyperlink ref="B23:N23" location="'FX rates '!A1" display="16. FX rates" xr:uid="{B5EF9005-BCA4-4657-91D7-C0937A941374}"/>
    <hyperlink ref="B12:N12" location="CF!A1" display="5. Cash flow " xr:uid="{2EB88653-BEA6-4699-9391-07D3DB5E3B91}"/>
    <hyperlink ref="B13:N13" location="'Changes in Equity'!A1" display="6. Changes in Equity " xr:uid="{F2A8CFF7-7150-4A6A-890E-AC97F7E827C0}"/>
    <hyperlink ref="B16:N16" location="CNS!A1" display="9. Neuropsychiatry (CNS) " xr:uid="{6B5B318B-F50A-4895-B7C9-78CABFBCCC8B}"/>
    <hyperlink ref="B17:N17" location="WHC!A1" display="10. Women's Helathcare (WHC) " xr:uid="{A6FEF270-1CEC-4504-98AA-8CFE14D3F148}"/>
    <hyperlink ref="B18:N18" location="BIO!A1" display="11. Biotechnology (BIO) " xr:uid="{EC2E94E5-0756-4A24-892E-3B8E81ADE6BB}"/>
    <hyperlink ref="B19:N19" location="GM!A1" display="12. General Medicines (GM) " xr:uid="{E3F801A3-FD33-4769-9C71-18CD8F774658}"/>
    <hyperlink ref="B20:N20" location="'Revenue Top10'!A1" display="13. Revenue Top10 " xr:uid="{2594D76C-F619-4291-9844-8E443A10247D}"/>
    <hyperlink ref="B24:N24" location="Note!A1" display="Note1 " xr:uid="{1E966728-A63A-4D53-ACF2-6C9EE63C5F00}"/>
    <hyperlink ref="F24" location="Note!A1" display="(Regional mapping)" xr:uid="{09B6539C-ADF1-4CE3-AA01-75630AE8A3C4}"/>
    <hyperlink ref="B14:N14" location="'Fin. inc-exp (HUF, EUR)'!A1" display="7. Details of financial income/expenses" xr:uid="{94BEF27C-6794-4F35-BD24-E559CD6DD037}"/>
    <hyperlink ref="B15:N15" location="'Business Unit Information'!A1" display="8. Business unit information " xr:uid="{05BB8C87-EF04-4D8D-B3E1-EA53C604A7BA}"/>
    <hyperlink ref="B21:N21" location="'Shareholder structure'!A1" display="14. Shareholder structure" xr:uid="{315EBF94-2EA8-4967-B1C1-D6DE5F84E3D8}"/>
    <hyperlink ref="B25" location="Definitions!A1" display="Definitions" xr:uid="{9E7C21EC-7E7A-40AD-AB50-06FA7AF17C89}"/>
  </hyperlinks>
  <pageMargins left="0.7" right="0.7" top="0.75" bottom="0.75" header="0.3" footer="0.3"/>
  <pageSetup paperSize="9" orientation="landscape"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F6804-997A-4292-BF22-1B48DBDAFC18}">
  <sheetPr>
    <tabColor rgb="FF0070C0"/>
  </sheetPr>
  <dimension ref="A1:Z56"/>
  <sheetViews>
    <sheetView zoomScale="68" zoomScaleNormal="68" workbookViewId="0">
      <pane xSplit="2" topLeftCell="L1" activePane="topRight" state="frozen"/>
      <selection activeCell="A31" sqref="A31"/>
      <selection pane="topRight" activeCell="P9" sqref="P9"/>
    </sheetView>
  </sheetViews>
  <sheetFormatPr defaultRowHeight="14.5" x14ac:dyDescent="0.35"/>
  <cols>
    <col min="1" max="1" width="45.81640625" customWidth="1"/>
    <col min="2" max="2" width="42.81640625" customWidth="1"/>
    <col min="3" max="26" width="13.453125" customWidth="1"/>
  </cols>
  <sheetData>
    <row r="1" spans="1:26" ht="31.5" customHeight="1" thickBot="1" x14ac:dyDescent="0.65">
      <c r="A1" s="39"/>
      <c r="B1" s="316"/>
      <c r="I1" s="189"/>
      <c r="N1" s="39"/>
      <c r="O1" s="39"/>
      <c r="P1" s="189"/>
      <c r="R1" s="39"/>
      <c r="Y1" s="431"/>
      <c r="Z1" s="353"/>
    </row>
    <row r="2" spans="1:26" ht="15" thickBot="1" x14ac:dyDescent="0.4">
      <c r="A2" s="507" t="s">
        <v>652</v>
      </c>
      <c r="B2" s="506" t="s">
        <v>653</v>
      </c>
      <c r="C2" s="101" t="s">
        <v>49</v>
      </c>
      <c r="D2" s="101" t="s">
        <v>50</v>
      </c>
      <c r="E2" s="101" t="s">
        <v>153</v>
      </c>
      <c r="F2" s="101" t="s">
        <v>51</v>
      </c>
      <c r="G2" s="101" t="s">
        <v>154</v>
      </c>
      <c r="H2" s="101" t="s">
        <v>52</v>
      </c>
      <c r="I2" s="101">
        <v>2021</v>
      </c>
      <c r="J2" s="101" t="s">
        <v>53</v>
      </c>
      <c r="K2" s="101" t="s">
        <v>54</v>
      </c>
      <c r="L2" s="101" t="s">
        <v>155</v>
      </c>
      <c r="M2" s="101" t="s">
        <v>55</v>
      </c>
      <c r="N2" s="101" t="s">
        <v>156</v>
      </c>
      <c r="O2" s="101" t="s">
        <v>56</v>
      </c>
      <c r="P2" s="101">
        <v>2022</v>
      </c>
      <c r="Q2" s="101" t="s">
        <v>57</v>
      </c>
      <c r="R2" s="101" t="s">
        <v>58</v>
      </c>
      <c r="S2" s="101" t="s">
        <v>159</v>
      </c>
      <c r="T2" s="101" t="s">
        <v>59</v>
      </c>
      <c r="U2" s="101" t="s">
        <v>160</v>
      </c>
      <c r="V2" s="101" t="s">
        <v>60</v>
      </c>
      <c r="W2" s="101">
        <v>2023</v>
      </c>
      <c r="X2" s="101" t="s">
        <v>61</v>
      </c>
      <c r="Y2" s="101" t="s">
        <v>1166</v>
      </c>
      <c r="Z2" s="101" t="s">
        <v>1167</v>
      </c>
    </row>
    <row r="3" spans="1:26" ht="15" thickTop="1" x14ac:dyDescent="0.35">
      <c r="A3" s="507"/>
      <c r="B3" s="506"/>
      <c r="C3" s="91" t="s">
        <v>62</v>
      </c>
      <c r="D3" s="91" t="s">
        <v>62</v>
      </c>
      <c r="E3" s="91" t="s">
        <v>62</v>
      </c>
      <c r="F3" s="91" t="s">
        <v>62</v>
      </c>
      <c r="G3" s="91" t="s">
        <v>62</v>
      </c>
      <c r="H3" s="91" t="s">
        <v>62</v>
      </c>
      <c r="I3" s="91" t="s">
        <v>62</v>
      </c>
      <c r="J3" s="91" t="s">
        <v>62</v>
      </c>
      <c r="K3" s="91" t="s">
        <v>62</v>
      </c>
      <c r="L3" s="91" t="s">
        <v>62</v>
      </c>
      <c r="M3" s="91" t="s">
        <v>62</v>
      </c>
      <c r="N3" s="91" t="s">
        <v>62</v>
      </c>
      <c r="O3" s="91" t="s">
        <v>62</v>
      </c>
      <c r="P3" s="91" t="s">
        <v>62</v>
      </c>
      <c r="Q3" s="91" t="s">
        <v>62</v>
      </c>
      <c r="R3" s="91" t="s">
        <v>62</v>
      </c>
      <c r="S3" s="91" t="s">
        <v>62</v>
      </c>
      <c r="T3" s="91" t="s">
        <v>62</v>
      </c>
      <c r="U3" s="91" t="s">
        <v>62</v>
      </c>
      <c r="V3" s="91" t="s">
        <v>62</v>
      </c>
      <c r="W3" s="91" t="s">
        <v>62</v>
      </c>
      <c r="X3" s="91" t="s">
        <v>62</v>
      </c>
      <c r="Y3" s="91" t="s">
        <v>62</v>
      </c>
      <c r="Z3" s="91" t="s">
        <v>62</v>
      </c>
    </row>
    <row r="4" spans="1:26" x14ac:dyDescent="0.35">
      <c r="A4" s="103" t="s">
        <v>63</v>
      </c>
      <c r="B4" s="92" t="s">
        <v>64</v>
      </c>
      <c r="C4" s="93">
        <v>112069</v>
      </c>
      <c r="D4" s="93">
        <v>125279</v>
      </c>
      <c r="E4" s="185">
        <f>C4+D4</f>
        <v>237348</v>
      </c>
      <c r="F4" s="93">
        <v>126367</v>
      </c>
      <c r="G4" s="185">
        <f>E4+F4</f>
        <v>363715</v>
      </c>
      <c r="H4" s="93">
        <v>141304</v>
      </c>
      <c r="I4" s="94">
        <f>G4+H4</f>
        <v>505019</v>
      </c>
      <c r="J4" s="93">
        <v>135308</v>
      </c>
      <c r="K4" s="93">
        <v>157441</v>
      </c>
      <c r="L4" s="185">
        <f>J4+K4</f>
        <v>292749</v>
      </c>
      <c r="M4" s="93">
        <v>180364</v>
      </c>
      <c r="N4" s="185">
        <f>L4+M4</f>
        <v>473113</v>
      </c>
      <c r="O4" s="93">
        <v>183230</v>
      </c>
      <c r="P4" s="94">
        <f>N4+O4</f>
        <v>656343</v>
      </c>
      <c r="Q4" s="93">
        <v>177759</v>
      </c>
      <c r="R4" s="93">
        <v>184380</v>
      </c>
      <c r="S4" s="185">
        <f>Q4+R4</f>
        <v>362139</v>
      </c>
      <c r="T4" s="93">
        <v>185307</v>
      </c>
      <c r="U4" s="185">
        <f>S4+T4</f>
        <v>547446</v>
      </c>
      <c r="V4" s="93">
        <f>W4-U4</f>
        <v>200000</v>
      </c>
      <c r="W4" s="94">
        <v>747446</v>
      </c>
      <c r="X4" s="93">
        <f>'Business Unit Information'!AG4</f>
        <v>200125</v>
      </c>
      <c r="Y4" s="93">
        <f>Z4-X4</f>
        <v>213254</v>
      </c>
      <c r="Z4" s="185">
        <v>413379</v>
      </c>
    </row>
    <row r="5" spans="1:26" ht="15" thickBot="1" x14ac:dyDescent="0.4">
      <c r="A5" s="103"/>
      <c r="B5" s="92"/>
      <c r="C5" s="93"/>
      <c r="D5" s="93"/>
      <c r="E5" s="93"/>
      <c r="F5" s="93"/>
      <c r="G5" s="93"/>
      <c r="H5" s="93"/>
      <c r="I5" s="93"/>
      <c r="J5" s="93"/>
      <c r="K5" s="93"/>
      <c r="L5" s="93"/>
      <c r="M5" s="93"/>
      <c r="N5" s="93"/>
      <c r="O5" s="93"/>
      <c r="P5" s="93"/>
      <c r="Q5" s="93"/>
      <c r="R5" s="93"/>
      <c r="S5" s="93"/>
      <c r="T5" s="93"/>
      <c r="U5" s="93"/>
      <c r="V5" s="93"/>
      <c r="W5" s="93"/>
      <c r="X5" s="93"/>
      <c r="Y5" s="93"/>
      <c r="Z5" s="93"/>
    </row>
    <row r="6" spans="1:26" ht="15" thickBot="1" x14ac:dyDescent="0.4">
      <c r="A6" s="282" t="s">
        <v>1114</v>
      </c>
      <c r="B6" s="282" t="s">
        <v>1115</v>
      </c>
      <c r="C6" s="101" t="s">
        <v>49</v>
      </c>
      <c r="D6" s="101" t="s">
        <v>50</v>
      </c>
      <c r="E6" s="101" t="s">
        <v>153</v>
      </c>
      <c r="F6" s="101" t="s">
        <v>51</v>
      </c>
      <c r="G6" s="101" t="s">
        <v>154</v>
      </c>
      <c r="H6" s="101" t="s">
        <v>52</v>
      </c>
      <c r="I6" s="101">
        <v>2021</v>
      </c>
      <c r="J6" s="101" t="s">
        <v>53</v>
      </c>
      <c r="K6" s="101" t="s">
        <v>54</v>
      </c>
      <c r="L6" s="101" t="s">
        <v>155</v>
      </c>
      <c r="M6" s="101" t="s">
        <v>55</v>
      </c>
      <c r="N6" s="101" t="s">
        <v>156</v>
      </c>
      <c r="O6" s="101" t="s">
        <v>56</v>
      </c>
      <c r="P6" s="101">
        <v>2022</v>
      </c>
      <c r="Q6" s="101" t="s">
        <v>57</v>
      </c>
      <c r="R6" s="101" t="s">
        <v>58</v>
      </c>
      <c r="S6" s="101" t="s">
        <v>159</v>
      </c>
      <c r="T6" s="101" t="s">
        <v>59</v>
      </c>
      <c r="U6" s="101" t="s">
        <v>160</v>
      </c>
      <c r="V6" s="101" t="s">
        <v>60</v>
      </c>
      <c r="W6" s="101">
        <v>2023</v>
      </c>
      <c r="X6" s="101" t="s">
        <v>61</v>
      </c>
      <c r="Y6" s="101" t="s">
        <v>1166</v>
      </c>
      <c r="Z6" s="101" t="s">
        <v>1167</v>
      </c>
    </row>
    <row r="7" spans="1:26" ht="15" thickTop="1" x14ac:dyDescent="0.35">
      <c r="A7" s="283" t="s">
        <v>654</v>
      </c>
      <c r="B7" s="284" t="s">
        <v>655</v>
      </c>
      <c r="C7" s="91" t="s">
        <v>62</v>
      </c>
      <c r="D7" s="91" t="s">
        <v>62</v>
      </c>
      <c r="E7" s="91" t="s">
        <v>62</v>
      </c>
      <c r="F7" s="91" t="s">
        <v>62</v>
      </c>
      <c r="G7" s="91" t="s">
        <v>62</v>
      </c>
      <c r="H7" s="91" t="s">
        <v>62</v>
      </c>
      <c r="I7" s="91" t="s">
        <v>62</v>
      </c>
      <c r="J7" s="91" t="s">
        <v>62</v>
      </c>
      <c r="K7" s="91" t="s">
        <v>62</v>
      </c>
      <c r="L7" s="91" t="s">
        <v>62</v>
      </c>
      <c r="M7" s="91" t="s">
        <v>62</v>
      </c>
      <c r="N7" s="91" t="s">
        <v>62</v>
      </c>
      <c r="O7" s="91" t="s">
        <v>62</v>
      </c>
      <c r="P7" s="91" t="s">
        <v>62</v>
      </c>
      <c r="Q7" s="91" t="s">
        <v>62</v>
      </c>
      <c r="R7" s="91" t="s">
        <v>62</v>
      </c>
      <c r="S7" s="91" t="s">
        <v>62</v>
      </c>
      <c r="T7" s="91" t="s">
        <v>62</v>
      </c>
      <c r="U7" s="91" t="s">
        <v>62</v>
      </c>
      <c r="V7" s="91" t="s">
        <v>62</v>
      </c>
      <c r="W7" s="91" t="s">
        <v>62</v>
      </c>
      <c r="X7" s="91" t="s">
        <v>62</v>
      </c>
      <c r="Y7" s="91" t="s">
        <v>62</v>
      </c>
      <c r="Z7" s="91" t="s">
        <v>62</v>
      </c>
    </row>
    <row r="8" spans="1:26" x14ac:dyDescent="0.35">
      <c r="A8" s="33" t="s">
        <v>63</v>
      </c>
      <c r="B8" s="33" t="s">
        <v>64</v>
      </c>
      <c r="C8" s="3">
        <v>21487</v>
      </c>
      <c r="D8" s="3">
        <v>24179</v>
      </c>
      <c r="E8" s="171">
        <f>C8+D8</f>
        <v>45666</v>
      </c>
      <c r="F8" s="3">
        <v>28663</v>
      </c>
      <c r="G8" s="171">
        <f>E8+F8</f>
        <v>74329</v>
      </c>
      <c r="H8" s="3">
        <v>31847</v>
      </c>
      <c r="I8" s="4">
        <f>G8+H8</f>
        <v>106176</v>
      </c>
      <c r="J8" s="3">
        <v>29031</v>
      </c>
      <c r="K8" s="3">
        <v>31747</v>
      </c>
      <c r="L8" s="171">
        <f t="shared" ref="L8:L16" si="0">J8+K8</f>
        <v>60778</v>
      </c>
      <c r="M8" s="3">
        <v>42980</v>
      </c>
      <c r="N8" s="171">
        <f>L8+M8</f>
        <v>103758</v>
      </c>
      <c r="O8" s="3">
        <v>42144</v>
      </c>
      <c r="P8" s="94">
        <f>N8+O8</f>
        <v>145902</v>
      </c>
      <c r="Q8" s="3">
        <v>43295</v>
      </c>
      <c r="R8" s="3">
        <v>46115</v>
      </c>
      <c r="S8" s="171">
        <f>Q8+R8</f>
        <v>89410</v>
      </c>
      <c r="T8" s="3">
        <v>55141</v>
      </c>
      <c r="U8" s="171">
        <f>S8+T8</f>
        <v>144551</v>
      </c>
      <c r="V8" s="3">
        <f>W8-U8</f>
        <v>61111</v>
      </c>
      <c r="W8" s="4">
        <v>205662</v>
      </c>
      <c r="X8" s="3">
        <f>'Business Unit Information'!AG5</f>
        <v>52968</v>
      </c>
      <c r="Y8" s="3">
        <v>56450</v>
      </c>
      <c r="Z8" s="171">
        <f>SUM(X8:Y8)</f>
        <v>109418</v>
      </c>
    </row>
    <row r="9" spans="1:26" x14ac:dyDescent="0.35">
      <c r="A9" s="34" t="s">
        <v>163</v>
      </c>
      <c r="B9" s="34" t="s">
        <v>164</v>
      </c>
      <c r="C9" s="8">
        <v>-68</v>
      </c>
      <c r="D9" s="8">
        <v>-103</v>
      </c>
      <c r="E9" s="174">
        <f t="shared" ref="E9:G16" si="1">C9+D9</f>
        <v>-171</v>
      </c>
      <c r="F9" s="8">
        <v>-96</v>
      </c>
      <c r="G9" s="174">
        <f t="shared" si="1"/>
        <v>-267</v>
      </c>
      <c r="H9" s="8">
        <v>-126</v>
      </c>
      <c r="I9" s="9">
        <f t="shared" ref="I9:I15" si="2">G9+H9</f>
        <v>-393</v>
      </c>
      <c r="J9" s="6">
        <v>-113</v>
      </c>
      <c r="K9" s="6">
        <v>-150</v>
      </c>
      <c r="L9" s="174">
        <f t="shared" si="0"/>
        <v>-263</v>
      </c>
      <c r="M9" s="6">
        <v>-162</v>
      </c>
      <c r="N9" s="174">
        <f>L9+M9</f>
        <v>-425</v>
      </c>
      <c r="O9" s="6">
        <v>-311</v>
      </c>
      <c r="P9" s="9">
        <f>N9+O9</f>
        <v>-736</v>
      </c>
      <c r="Q9" s="6">
        <v>-215</v>
      </c>
      <c r="R9" s="6">
        <v>-300</v>
      </c>
      <c r="S9" s="174">
        <f t="shared" ref="S9:U16" si="3">Q9+R9</f>
        <v>-515</v>
      </c>
      <c r="T9" s="6">
        <v>-279</v>
      </c>
      <c r="U9" s="174">
        <f t="shared" si="3"/>
        <v>-794</v>
      </c>
      <c r="V9" s="6">
        <f>W9-U9</f>
        <v>-455</v>
      </c>
      <c r="W9" s="7">
        <v>-1249</v>
      </c>
      <c r="X9" s="355">
        <f>'Business Unit Information'!AG41</f>
        <v>-376</v>
      </c>
      <c r="Y9" s="6">
        <v>-406</v>
      </c>
      <c r="Z9" s="454">
        <f>SUM(X9:Y9)</f>
        <v>-782</v>
      </c>
    </row>
    <row r="10" spans="1:26" x14ac:dyDescent="0.35">
      <c r="A10" s="35" t="s">
        <v>165</v>
      </c>
      <c r="B10" s="35" t="s">
        <v>68</v>
      </c>
      <c r="C10" s="12">
        <f t="shared" ref="C10:M10" si="4">SUM(C8:C9)</f>
        <v>21419</v>
      </c>
      <c r="D10" s="12">
        <f t="shared" si="4"/>
        <v>24076</v>
      </c>
      <c r="E10" s="173">
        <f>C10+D10</f>
        <v>45495</v>
      </c>
      <c r="F10" s="12">
        <f t="shared" si="4"/>
        <v>28567</v>
      </c>
      <c r="G10" s="173">
        <f>E10+F10</f>
        <v>74062</v>
      </c>
      <c r="H10" s="12">
        <f t="shared" si="4"/>
        <v>31721</v>
      </c>
      <c r="I10" s="13">
        <f t="shared" si="2"/>
        <v>105783</v>
      </c>
      <c r="J10" s="12">
        <f>SUM(J8:J9)</f>
        <v>28918</v>
      </c>
      <c r="K10" s="12">
        <f t="shared" si="4"/>
        <v>31597</v>
      </c>
      <c r="L10" s="173">
        <f>J10+K10</f>
        <v>60515</v>
      </c>
      <c r="M10" s="12">
        <f t="shared" si="4"/>
        <v>42818</v>
      </c>
      <c r="N10" s="173">
        <f>L10+M10</f>
        <v>103333</v>
      </c>
      <c r="O10" s="12">
        <f>SUM(O8:O9)</f>
        <v>41833</v>
      </c>
      <c r="P10" s="13">
        <f>SUM(P8:P9)</f>
        <v>145166</v>
      </c>
      <c r="Q10" s="12">
        <f>SUM(Q8:Q9)</f>
        <v>43080</v>
      </c>
      <c r="R10" s="12">
        <f>SUM(R8:R9)</f>
        <v>45815</v>
      </c>
      <c r="S10" s="173">
        <f t="shared" si="3"/>
        <v>88895</v>
      </c>
      <c r="T10" s="12">
        <f>SUM(T8:T9)</f>
        <v>54862</v>
      </c>
      <c r="U10" s="173">
        <f t="shared" si="3"/>
        <v>143757</v>
      </c>
      <c r="V10" s="12">
        <f t="shared" ref="V10:V15" si="5">W10-U10</f>
        <v>60656</v>
      </c>
      <c r="W10" s="13">
        <v>204413</v>
      </c>
      <c r="X10" s="349">
        <f>X8+X9</f>
        <v>52592</v>
      </c>
      <c r="Y10" s="12">
        <f>SUM(Y8:Y9)</f>
        <v>56044</v>
      </c>
      <c r="Z10" s="173">
        <f t="shared" ref="Z10:Z15" si="6">SUM(X10:Y10)</f>
        <v>108636</v>
      </c>
    </row>
    <row r="11" spans="1:26" x14ac:dyDescent="0.35">
      <c r="A11" s="34" t="s">
        <v>215</v>
      </c>
      <c r="B11" s="34" t="s">
        <v>167</v>
      </c>
      <c r="C11" s="8">
        <v>-533</v>
      </c>
      <c r="D11" s="8">
        <v>-600</v>
      </c>
      <c r="E11" s="174">
        <f t="shared" si="1"/>
        <v>-1133</v>
      </c>
      <c r="F11" s="8">
        <v>-455</v>
      </c>
      <c r="G11" s="174">
        <f t="shared" si="1"/>
        <v>-1588</v>
      </c>
      <c r="H11" s="8">
        <v>-766</v>
      </c>
      <c r="I11" s="9">
        <f t="shared" si="2"/>
        <v>-2354</v>
      </c>
      <c r="J11" s="8">
        <v>-588</v>
      </c>
      <c r="K11" s="8">
        <v>-761</v>
      </c>
      <c r="L11" s="174">
        <f t="shared" si="0"/>
        <v>-1349</v>
      </c>
      <c r="M11" s="8">
        <v>-668</v>
      </c>
      <c r="N11" s="174">
        <f t="shared" ref="N11:N15" si="7">L11+M11</f>
        <v>-2017</v>
      </c>
      <c r="O11" s="8">
        <v>-1160</v>
      </c>
      <c r="P11" s="9">
        <f>N11+O11</f>
        <v>-3177</v>
      </c>
      <c r="Q11" s="8">
        <v>-796</v>
      </c>
      <c r="R11" s="8">
        <v>-800.65762594494777</v>
      </c>
      <c r="S11" s="174">
        <f>Q11+R11</f>
        <v>-1596.6576259449478</v>
      </c>
      <c r="T11" s="8">
        <v>-1011.3423740550522</v>
      </c>
      <c r="U11" s="174">
        <f t="shared" si="3"/>
        <v>-2608</v>
      </c>
      <c r="V11" s="8">
        <f t="shared" si="5"/>
        <v>-766</v>
      </c>
      <c r="W11" s="9">
        <v>-3374</v>
      </c>
      <c r="X11" s="347">
        <f>'Business Unit Information'!AG65</f>
        <v>-1010</v>
      </c>
      <c r="Y11" s="8">
        <v>-1077</v>
      </c>
      <c r="Z11" s="454">
        <f t="shared" si="6"/>
        <v>-2087</v>
      </c>
    </row>
    <row r="12" spans="1:26" x14ac:dyDescent="0.35">
      <c r="A12" s="34" t="s">
        <v>656</v>
      </c>
      <c r="B12" s="34" t="s">
        <v>169</v>
      </c>
      <c r="C12" s="8">
        <v>-30</v>
      </c>
      <c r="D12" s="8">
        <v>-72</v>
      </c>
      <c r="E12" s="174">
        <f t="shared" si="1"/>
        <v>-102</v>
      </c>
      <c r="F12" s="8">
        <v>-59</v>
      </c>
      <c r="G12" s="174">
        <f t="shared" si="1"/>
        <v>-161</v>
      </c>
      <c r="H12" s="8">
        <v>-72</v>
      </c>
      <c r="I12" s="9">
        <f t="shared" si="2"/>
        <v>-233</v>
      </c>
      <c r="J12" s="8">
        <v>-77</v>
      </c>
      <c r="K12" s="8">
        <v>-93</v>
      </c>
      <c r="L12" s="174">
        <f t="shared" si="0"/>
        <v>-170</v>
      </c>
      <c r="M12" s="8">
        <v>-77</v>
      </c>
      <c r="N12" s="174">
        <f t="shared" si="7"/>
        <v>-247</v>
      </c>
      <c r="O12" s="8">
        <v>-130</v>
      </c>
      <c r="P12" s="9">
        <f>N12+O12</f>
        <v>-377</v>
      </c>
      <c r="Q12" s="8">
        <v>-181</v>
      </c>
      <c r="R12" s="8">
        <v>-173</v>
      </c>
      <c r="S12" s="174">
        <f t="shared" si="3"/>
        <v>-354</v>
      </c>
      <c r="T12" s="8">
        <v>-208</v>
      </c>
      <c r="U12" s="174">
        <f t="shared" si="3"/>
        <v>-562</v>
      </c>
      <c r="V12" s="8">
        <f t="shared" si="5"/>
        <v>-208</v>
      </c>
      <c r="W12" s="9">
        <v>-770</v>
      </c>
      <c r="X12" s="347">
        <f>'Business Unit Information'!AG77</f>
        <v>-245</v>
      </c>
      <c r="Y12" s="8">
        <v>-255</v>
      </c>
      <c r="Z12" s="454">
        <f t="shared" si="6"/>
        <v>-500</v>
      </c>
    </row>
    <row r="13" spans="1:26" x14ac:dyDescent="0.35">
      <c r="A13" s="34" t="s">
        <v>217</v>
      </c>
      <c r="B13" s="34" t="s">
        <v>171</v>
      </c>
      <c r="C13" s="8">
        <v>-4093</v>
      </c>
      <c r="D13" s="8">
        <v>-4402</v>
      </c>
      <c r="E13" s="174">
        <f t="shared" si="1"/>
        <v>-8495</v>
      </c>
      <c r="F13" s="8">
        <v>-4839</v>
      </c>
      <c r="G13" s="174">
        <f t="shared" si="1"/>
        <v>-13334</v>
      </c>
      <c r="H13" s="8">
        <v>-4567</v>
      </c>
      <c r="I13" s="9">
        <f t="shared" si="2"/>
        <v>-17901</v>
      </c>
      <c r="J13" s="8">
        <v>-4571</v>
      </c>
      <c r="K13" s="8">
        <v>-5369</v>
      </c>
      <c r="L13" s="174">
        <f t="shared" si="0"/>
        <v>-9940</v>
      </c>
      <c r="M13" s="8">
        <v>-5748</v>
      </c>
      <c r="N13" s="174">
        <f t="shared" si="7"/>
        <v>-15688</v>
      </c>
      <c r="O13" s="8">
        <v>-6263</v>
      </c>
      <c r="P13" s="9">
        <f>N13+O13</f>
        <v>-21951</v>
      </c>
      <c r="Q13" s="8">
        <v>-5366</v>
      </c>
      <c r="R13" s="8">
        <v>-6887</v>
      </c>
      <c r="S13" s="174">
        <f t="shared" si="3"/>
        <v>-12253</v>
      </c>
      <c r="T13" s="8">
        <v>-6303</v>
      </c>
      <c r="U13" s="174">
        <f t="shared" si="3"/>
        <v>-18556</v>
      </c>
      <c r="V13" s="8">
        <f t="shared" si="5"/>
        <v>-6181</v>
      </c>
      <c r="W13" s="9">
        <v>-24737</v>
      </c>
      <c r="X13" s="347">
        <f>'Business Unit Information'!AG53</f>
        <v>-8291</v>
      </c>
      <c r="Y13" s="8">
        <v>-8302</v>
      </c>
      <c r="Z13" s="454">
        <f t="shared" si="6"/>
        <v>-16593</v>
      </c>
    </row>
    <row r="14" spans="1:26" x14ac:dyDescent="0.35">
      <c r="A14" s="102" t="s">
        <v>218</v>
      </c>
      <c r="B14" s="102" t="s">
        <v>218</v>
      </c>
      <c r="C14" s="8">
        <v>-29</v>
      </c>
      <c r="D14" s="8">
        <v>-12</v>
      </c>
      <c r="E14" s="174">
        <f t="shared" si="1"/>
        <v>-41</v>
      </c>
      <c r="F14" s="8">
        <v>-24</v>
      </c>
      <c r="G14" s="174">
        <f t="shared" si="1"/>
        <v>-65</v>
      </c>
      <c r="H14" s="8">
        <v>-46</v>
      </c>
      <c r="I14" s="9">
        <f t="shared" si="2"/>
        <v>-111</v>
      </c>
      <c r="J14" s="8">
        <v>-41</v>
      </c>
      <c r="K14" s="8">
        <v>-143</v>
      </c>
      <c r="L14" s="174">
        <f t="shared" si="0"/>
        <v>-184</v>
      </c>
      <c r="M14" s="8">
        <v>-51</v>
      </c>
      <c r="N14" s="174">
        <f t="shared" si="7"/>
        <v>-235</v>
      </c>
      <c r="O14" s="8">
        <v>-190</v>
      </c>
      <c r="P14" s="9">
        <f>N14+O14</f>
        <v>-425</v>
      </c>
      <c r="Q14" s="8">
        <v>-275</v>
      </c>
      <c r="R14" s="8">
        <v>-23</v>
      </c>
      <c r="S14" s="174">
        <f t="shared" si="3"/>
        <v>-298</v>
      </c>
      <c r="T14" s="8">
        <v>-206</v>
      </c>
      <c r="U14" s="174">
        <f t="shared" si="3"/>
        <v>-504</v>
      </c>
      <c r="V14" s="8">
        <f>W14-U14</f>
        <v>-222</v>
      </c>
      <c r="W14" s="9">
        <v>-726</v>
      </c>
      <c r="X14" s="347">
        <v>-356</v>
      </c>
      <c r="Y14" s="8">
        <v>-283</v>
      </c>
      <c r="Z14" s="454">
        <f t="shared" si="6"/>
        <v>-639</v>
      </c>
    </row>
    <row r="15" spans="1:26" x14ac:dyDescent="0.35">
      <c r="A15" s="34" t="s">
        <v>657</v>
      </c>
      <c r="B15" s="34" t="s">
        <v>658</v>
      </c>
      <c r="C15" s="8">
        <v>0</v>
      </c>
      <c r="D15" s="8">
        <v>234</v>
      </c>
      <c r="E15" s="174">
        <f t="shared" si="1"/>
        <v>234</v>
      </c>
      <c r="F15" s="8">
        <v>0</v>
      </c>
      <c r="G15" s="174">
        <f t="shared" si="1"/>
        <v>234</v>
      </c>
      <c r="H15" s="8">
        <v>0</v>
      </c>
      <c r="I15" s="19">
        <f t="shared" si="2"/>
        <v>234</v>
      </c>
      <c r="J15" s="8">
        <v>7</v>
      </c>
      <c r="K15" s="8">
        <v>8616</v>
      </c>
      <c r="L15" s="174">
        <f t="shared" si="0"/>
        <v>8623</v>
      </c>
      <c r="M15" s="8">
        <v>79</v>
      </c>
      <c r="N15" s="174">
        <f t="shared" si="7"/>
        <v>8702</v>
      </c>
      <c r="O15" s="8">
        <v>1914</v>
      </c>
      <c r="P15" s="9">
        <f>N15+O15</f>
        <v>10616</v>
      </c>
      <c r="Q15" s="8">
        <v>0</v>
      </c>
      <c r="R15" s="8">
        <v>81</v>
      </c>
      <c r="S15" s="174">
        <f t="shared" si="3"/>
        <v>81</v>
      </c>
      <c r="T15" s="8">
        <v>0</v>
      </c>
      <c r="U15" s="174">
        <f t="shared" si="3"/>
        <v>81</v>
      </c>
      <c r="V15" s="8">
        <f t="shared" si="5"/>
        <v>0</v>
      </c>
      <c r="W15" s="9">
        <v>81</v>
      </c>
      <c r="X15" s="347">
        <v>50</v>
      </c>
      <c r="Y15" s="8">
        <v>0</v>
      </c>
      <c r="Z15" s="174">
        <f t="shared" si="6"/>
        <v>50</v>
      </c>
    </row>
    <row r="16" spans="1:26" x14ac:dyDescent="0.35">
      <c r="A16" s="35" t="s">
        <v>71</v>
      </c>
      <c r="B16" s="35" t="s">
        <v>72</v>
      </c>
      <c r="C16" s="12">
        <f t="shared" ref="C16:M16" si="8">SUM(C10:C15)</f>
        <v>16734</v>
      </c>
      <c r="D16" s="12">
        <f t="shared" si="8"/>
        <v>19224</v>
      </c>
      <c r="E16" s="173">
        <f t="shared" si="1"/>
        <v>35958</v>
      </c>
      <c r="F16" s="12">
        <f t="shared" si="8"/>
        <v>23190</v>
      </c>
      <c r="G16" s="173">
        <f t="shared" si="1"/>
        <v>59148</v>
      </c>
      <c r="H16" s="12">
        <f t="shared" si="8"/>
        <v>26270</v>
      </c>
      <c r="I16" s="13">
        <f>G16+H16</f>
        <v>85418</v>
      </c>
      <c r="J16" s="12">
        <f>SUM(J10:J15)</f>
        <v>23648</v>
      </c>
      <c r="K16" s="12">
        <f t="shared" si="8"/>
        <v>33847</v>
      </c>
      <c r="L16" s="173">
        <f t="shared" si="0"/>
        <v>57495</v>
      </c>
      <c r="M16" s="12">
        <f t="shared" si="8"/>
        <v>36353</v>
      </c>
      <c r="N16" s="173">
        <f>L16+M16</f>
        <v>93848</v>
      </c>
      <c r="O16" s="12">
        <f>SUM(O10:O15)</f>
        <v>36004</v>
      </c>
      <c r="P16" s="13">
        <f>SUM(P10:P15)</f>
        <v>129852</v>
      </c>
      <c r="Q16" s="12">
        <f>SUM(Q10:Q15)</f>
        <v>36462</v>
      </c>
      <c r="R16" s="12">
        <f>SUM(R10:R15)</f>
        <v>38012.34237405505</v>
      </c>
      <c r="S16" s="173">
        <f t="shared" si="3"/>
        <v>74474.34237405505</v>
      </c>
      <c r="T16" s="12">
        <f>SUM(T10:T15)</f>
        <v>47133.65762594495</v>
      </c>
      <c r="U16" s="173">
        <f t="shared" si="3"/>
        <v>121608</v>
      </c>
      <c r="V16" s="12">
        <f>W16-U16</f>
        <v>53279</v>
      </c>
      <c r="W16" s="13">
        <v>174887</v>
      </c>
      <c r="X16" s="349">
        <f>SUM(X10:X15)</f>
        <v>42740</v>
      </c>
      <c r="Y16" s="12">
        <f>SUM(Y10:Y15)</f>
        <v>46127</v>
      </c>
      <c r="Z16" s="173">
        <f t="shared" ref="Z16" si="9">SUM(X16:Y16)</f>
        <v>88867</v>
      </c>
    </row>
    <row r="17" spans="1:26" x14ac:dyDescent="0.35">
      <c r="E17" s="10"/>
      <c r="P17" s="10"/>
      <c r="X17" s="353"/>
    </row>
    <row r="18" spans="1:26" ht="15" thickBot="1" x14ac:dyDescent="0.4">
      <c r="A18" s="21" t="s">
        <v>212</v>
      </c>
      <c r="B18" s="21" t="s">
        <v>213</v>
      </c>
      <c r="C18" s="22"/>
      <c r="D18" s="22"/>
      <c r="E18" s="22"/>
      <c r="F18" s="22"/>
      <c r="G18" s="22"/>
      <c r="H18" s="23"/>
      <c r="I18" s="22"/>
      <c r="J18" s="22"/>
      <c r="K18" s="22"/>
      <c r="L18" s="22"/>
      <c r="M18" s="22"/>
      <c r="N18" s="22"/>
      <c r="O18" s="22"/>
      <c r="P18" s="22"/>
      <c r="Q18" s="22"/>
      <c r="R18" s="22"/>
      <c r="S18" s="22"/>
      <c r="T18" s="22"/>
      <c r="U18" s="22"/>
      <c r="V18" s="22"/>
      <c r="W18" s="22"/>
      <c r="X18" s="392"/>
      <c r="Y18" s="22"/>
      <c r="Z18" s="22"/>
    </row>
    <row r="19" spans="1:26" x14ac:dyDescent="0.35">
      <c r="A19" s="102" t="s">
        <v>165</v>
      </c>
      <c r="B19" s="102" t="s">
        <v>214</v>
      </c>
      <c r="C19" s="24">
        <f t="shared" ref="C19:T19" si="10">C10/C$8</f>
        <v>0.99683529576022711</v>
      </c>
      <c r="D19" s="24">
        <f t="shared" si="10"/>
        <v>0.99574010504983668</v>
      </c>
      <c r="E19" s="177">
        <f t="shared" si="10"/>
        <v>0.99625541978715015</v>
      </c>
      <c r="F19" s="24">
        <f t="shared" si="10"/>
        <v>0.99665073439625995</v>
      </c>
      <c r="G19" s="177">
        <f t="shared" si="10"/>
        <v>0.99640786234175083</v>
      </c>
      <c r="H19" s="24">
        <f t="shared" si="10"/>
        <v>0.99604358338305021</v>
      </c>
      <c r="I19" s="25">
        <f t="shared" si="10"/>
        <v>0.99629859855334535</v>
      </c>
      <c r="J19" s="24">
        <f t="shared" si="10"/>
        <v>0.99610760910750573</v>
      </c>
      <c r="K19" s="24">
        <f t="shared" si="10"/>
        <v>0.99527514410810469</v>
      </c>
      <c r="L19" s="177">
        <f t="shared" si="10"/>
        <v>0.99567277633354179</v>
      </c>
      <c r="M19" s="24">
        <f t="shared" si="10"/>
        <v>0.99623080502559325</v>
      </c>
      <c r="N19" s="177">
        <f t="shared" si="10"/>
        <v>0.99590393029935043</v>
      </c>
      <c r="O19" s="245">
        <f t="shared" si="10"/>
        <v>0.99262053910402426</v>
      </c>
      <c r="P19" s="25">
        <f t="shared" si="10"/>
        <v>0.99495551808748339</v>
      </c>
      <c r="Q19" s="24">
        <f t="shared" si="10"/>
        <v>0.99503406859914545</v>
      </c>
      <c r="R19" s="24">
        <f t="shared" si="10"/>
        <v>0.99349452455816978</v>
      </c>
      <c r="S19" s="177">
        <f t="shared" si="10"/>
        <v>0.99424001789509009</v>
      </c>
      <c r="T19" s="24">
        <f t="shared" si="10"/>
        <v>0.99494024410148529</v>
      </c>
      <c r="U19" s="177">
        <f>U10/U$8</f>
        <v>0.99450712897178162</v>
      </c>
      <c r="V19" s="83">
        <f>V10/V$8</f>
        <v>0.99255453191733078</v>
      </c>
      <c r="W19" s="25">
        <f>W10/W$8</f>
        <v>0.99392692864992072</v>
      </c>
      <c r="X19" s="83">
        <f t="shared" ref="X19" si="11">X10/X$8</f>
        <v>0.99290137441474102</v>
      </c>
      <c r="Y19" s="24">
        <f>Y10/Y$8</f>
        <v>0.9928077945084145</v>
      </c>
      <c r="Z19" s="177">
        <f>Z10/Z$8</f>
        <v>0.99285309546875289</v>
      </c>
    </row>
    <row r="20" spans="1:26" x14ac:dyDescent="0.35">
      <c r="A20" s="102" t="s">
        <v>215</v>
      </c>
      <c r="B20" s="95" t="s">
        <v>167</v>
      </c>
      <c r="C20" s="24">
        <f t="shared" ref="C20:D23" si="12">C11/C$8*-1</f>
        <v>2.4805696467631592E-2</v>
      </c>
      <c r="D20" s="24">
        <f t="shared" si="12"/>
        <v>2.481492203978659E-2</v>
      </c>
      <c r="E20" s="177">
        <f t="shared" ref="E20" si="13">E11/E$8*-1</f>
        <v>2.4810581176367537E-2</v>
      </c>
      <c r="F20" s="24">
        <f t="shared" ref="F20:H23" si="14">F11/F$8*-1</f>
        <v>1.5874123434392772E-2</v>
      </c>
      <c r="G20" s="177">
        <f t="shared" si="14"/>
        <v>2.1364474162170889E-2</v>
      </c>
      <c r="H20" s="24">
        <f t="shared" si="14"/>
        <v>2.4052501020504286E-2</v>
      </c>
      <c r="I20" s="25">
        <f t="shared" ref="I20:L23" si="15">I11/I$8*-1</f>
        <v>2.2170735382760699E-2</v>
      </c>
      <c r="J20" s="24">
        <f t="shared" si="15"/>
        <v>2.0254211015810684E-2</v>
      </c>
      <c r="K20" s="24">
        <f t="shared" si="15"/>
        <v>2.3970768891548807E-2</v>
      </c>
      <c r="L20" s="177">
        <f t="shared" si="15"/>
        <v>2.2195531277764982E-2</v>
      </c>
      <c r="M20" s="24">
        <f>M11/M$8*-1</f>
        <v>1.554211261051652E-2</v>
      </c>
      <c r="N20" s="177">
        <f t="shared" ref="N20" si="16">N11/N$8*-1</f>
        <v>1.9439464908729928E-2</v>
      </c>
      <c r="O20" s="24">
        <f>O11/O$8*-1</f>
        <v>2.7524677296886863E-2</v>
      </c>
      <c r="P20" s="247">
        <f t="shared" ref="P20:S23" si="17">P11/P$8*-1</f>
        <v>2.1774889994653945E-2</v>
      </c>
      <c r="Q20" s="24">
        <f t="shared" si="17"/>
        <v>1.8385494860838434E-2</v>
      </c>
      <c r="R20" s="24">
        <f t="shared" si="17"/>
        <v>1.736219507632978E-2</v>
      </c>
      <c r="S20" s="177">
        <f>S11/S$8*-1</f>
        <v>1.7857707481768792E-2</v>
      </c>
      <c r="T20" s="24">
        <f>T11/T$8*-1</f>
        <v>1.8341023449974653E-2</v>
      </c>
      <c r="U20" s="177">
        <f t="shared" ref="U20:U21" si="18">U11/U$8*-1</f>
        <v>1.8042075115357211E-2</v>
      </c>
      <c r="V20" s="83">
        <f t="shared" ref="V20:X23" si="19">V11/V$8*-1</f>
        <v>1.2534568244669536E-2</v>
      </c>
      <c r="W20" s="25">
        <f t="shared" si="19"/>
        <v>1.6405558635041961E-2</v>
      </c>
      <c r="X20" s="83">
        <f t="shared" si="19"/>
        <v>1.9068116598701102E-2</v>
      </c>
      <c r="Y20" s="24">
        <f t="shared" ref="Y20:Z23" si="20">Y11/Y$8*-1</f>
        <v>1.9078830823737822E-2</v>
      </c>
      <c r="Z20" s="177">
        <f t="shared" si="20"/>
        <v>1.9073644190169808E-2</v>
      </c>
    </row>
    <row r="21" spans="1:26" x14ac:dyDescent="0.35">
      <c r="A21" s="102" t="s">
        <v>216</v>
      </c>
      <c r="B21" s="95" t="s">
        <v>169</v>
      </c>
      <c r="C21" s="24">
        <f t="shared" si="12"/>
        <v>1.3961930469586262E-3</v>
      </c>
      <c r="D21" s="24">
        <f t="shared" si="12"/>
        <v>2.9777906447743911E-3</v>
      </c>
      <c r="E21" s="177">
        <f t="shared" ref="E21" si="21">E12/E$8*-1</f>
        <v>2.2336092497700698E-3</v>
      </c>
      <c r="F21" s="24">
        <f t="shared" si="14"/>
        <v>2.0584028189652164E-3</v>
      </c>
      <c r="G21" s="177">
        <f t="shared" si="14"/>
        <v>2.1660455542251342E-3</v>
      </c>
      <c r="H21" s="24">
        <f t="shared" si="14"/>
        <v>2.2608094953998807E-3</v>
      </c>
      <c r="I21" s="25">
        <f t="shared" si="15"/>
        <v>2.1944695599758891E-3</v>
      </c>
      <c r="J21" s="24">
        <f t="shared" si="15"/>
        <v>2.6523371568323516E-3</v>
      </c>
      <c r="K21" s="24">
        <f t="shared" si="15"/>
        <v>2.9294106529750841E-3</v>
      </c>
      <c r="L21" s="177">
        <f t="shared" si="15"/>
        <v>2.7970647273684555E-3</v>
      </c>
      <c r="M21" s="24">
        <f>M12/M$8*-1</f>
        <v>1.7915309446254071E-3</v>
      </c>
      <c r="N21" s="177">
        <f t="shared" ref="N21" si="22">N12/N$8*-1</f>
        <v>2.3805393319069374E-3</v>
      </c>
      <c r="O21" s="24">
        <f>O12/O$8*-1</f>
        <v>3.0846621108580104E-3</v>
      </c>
      <c r="P21" s="25">
        <f t="shared" si="17"/>
        <v>2.5839261970363667E-3</v>
      </c>
      <c r="Q21" s="24">
        <f t="shared" si="17"/>
        <v>4.1806213188589902E-3</v>
      </c>
      <c r="R21" s="24">
        <f t="shared" si="17"/>
        <v>3.7514908381220862E-3</v>
      </c>
      <c r="S21" s="177">
        <f t="shared" si="17"/>
        <v>3.9592886701711218E-3</v>
      </c>
      <c r="T21" s="24">
        <f>T12/T$8*-1</f>
        <v>3.7721477666346277E-3</v>
      </c>
      <c r="U21" s="177">
        <f t="shared" si="18"/>
        <v>3.8879011559933862E-3</v>
      </c>
      <c r="V21" s="83">
        <f t="shared" si="19"/>
        <v>3.4036425520773675E-3</v>
      </c>
      <c r="W21" s="25">
        <f t="shared" si="19"/>
        <v>3.7440071573747215E-3</v>
      </c>
      <c r="X21" s="83">
        <f t="shared" si="19"/>
        <v>4.6254342244373961E-3</v>
      </c>
      <c r="Y21" s="24">
        <f t="shared" si="20"/>
        <v>4.5172719220549157E-3</v>
      </c>
      <c r="Z21" s="177">
        <f t="shared" si="20"/>
        <v>4.5696320532270743E-3</v>
      </c>
    </row>
    <row r="22" spans="1:26" x14ac:dyDescent="0.35">
      <c r="A22" s="102" t="s">
        <v>217</v>
      </c>
      <c r="B22" s="95" t="s">
        <v>171</v>
      </c>
      <c r="C22" s="24">
        <f t="shared" si="12"/>
        <v>0.19048727137338856</v>
      </c>
      <c r="D22" s="24">
        <f t="shared" si="12"/>
        <v>0.1820588113652343</v>
      </c>
      <c r="E22" s="177">
        <f t="shared" ref="E22" si="23">E13/E$8*-1</f>
        <v>0.18602461349800728</v>
      </c>
      <c r="F22" s="24">
        <f t="shared" si="14"/>
        <v>0.16882391933852003</v>
      </c>
      <c r="G22" s="177">
        <f t="shared" si="14"/>
        <v>0.17939162372694373</v>
      </c>
      <c r="H22" s="24">
        <f t="shared" si="14"/>
        <v>0.14340440229848966</v>
      </c>
      <c r="I22" s="25">
        <f t="shared" si="15"/>
        <v>0.16859742314647377</v>
      </c>
      <c r="J22" s="24">
        <f t="shared" si="15"/>
        <v>0.15745237849195687</v>
      </c>
      <c r="K22" s="24">
        <f t="shared" si="15"/>
        <v>0.16911834189057234</v>
      </c>
      <c r="L22" s="177">
        <f>L13/L$8*-1</f>
        <v>0.16354601994142617</v>
      </c>
      <c r="M22" s="24">
        <f>M13/M$8*-1</f>
        <v>0.13373662168450443</v>
      </c>
      <c r="N22" s="177">
        <f>N13/N$8*-1</f>
        <v>0.15119797991480174</v>
      </c>
      <c r="O22" s="24">
        <f>O13/O$8*-1</f>
        <v>0.14860952923310555</v>
      </c>
      <c r="P22" s="25">
        <f t="shared" si="17"/>
        <v>0.1504503022576798</v>
      </c>
      <c r="Q22" s="24">
        <f t="shared" si="17"/>
        <v>0.12394040882318974</v>
      </c>
      <c r="R22" s="24">
        <f t="shared" si="17"/>
        <v>0.14934403122628212</v>
      </c>
      <c r="S22" s="177">
        <f>S13/S$8*-1</f>
        <v>0.1370428363717705</v>
      </c>
      <c r="T22" s="24">
        <f>T13/T$8*-1</f>
        <v>0.11430695852450989</v>
      </c>
      <c r="U22" s="177">
        <f>U13/U$8*-1</f>
        <v>0.12836991788365351</v>
      </c>
      <c r="V22" s="83">
        <f t="shared" si="19"/>
        <v>0.10114382026149138</v>
      </c>
      <c r="W22" s="25">
        <f t="shared" si="19"/>
        <v>0.12027987669088115</v>
      </c>
      <c r="X22" s="83">
        <f t="shared" si="19"/>
        <v>0.15652847001963449</v>
      </c>
      <c r="Y22" s="24">
        <f t="shared" si="20"/>
        <v>0.1470682019486271</v>
      </c>
      <c r="Z22" s="177">
        <f t="shared" si="20"/>
        <v>0.15164780931839369</v>
      </c>
    </row>
    <row r="23" spans="1:26" x14ac:dyDescent="0.35">
      <c r="A23" s="102" t="s">
        <v>218</v>
      </c>
      <c r="B23" s="102" t="s">
        <v>218</v>
      </c>
      <c r="C23" s="24">
        <f t="shared" si="12"/>
        <v>1.3496532787266719E-3</v>
      </c>
      <c r="D23" s="24">
        <f t="shared" si="12"/>
        <v>4.9629844079573178E-4</v>
      </c>
      <c r="E23" s="177">
        <f t="shared" ref="E23" si="24">E14/E$8*-1</f>
        <v>8.9782332588796913E-4</v>
      </c>
      <c r="F23" s="24">
        <f t="shared" si="14"/>
        <v>8.3731640093500335E-4</v>
      </c>
      <c r="G23" s="177">
        <f t="shared" si="14"/>
        <v>8.7449044114679326E-4</v>
      </c>
      <c r="H23" s="24">
        <f t="shared" si="14"/>
        <v>1.4444060665054794E-3</v>
      </c>
      <c r="I23" s="25">
        <f t="shared" si="15"/>
        <v>1.0454339963833635E-3</v>
      </c>
      <c r="J23" s="24">
        <f t="shared" si="15"/>
        <v>1.4122834211704729E-3</v>
      </c>
      <c r="K23" s="24">
        <f t="shared" si="15"/>
        <v>4.5043626169401834E-3</v>
      </c>
      <c r="L23" s="177">
        <f t="shared" si="15"/>
        <v>3.0274112343282107E-3</v>
      </c>
      <c r="M23" s="24">
        <f>M14/M$8*-1</f>
        <v>1.1865984178687761E-3</v>
      </c>
      <c r="N23" s="177">
        <f t="shared" ref="N23" si="25">N14/N$8*-1</f>
        <v>2.2648855991827138E-3</v>
      </c>
      <c r="O23" s="24">
        <f>O14/O$8*-1</f>
        <v>4.5083523158694003E-3</v>
      </c>
      <c r="P23" s="25">
        <f t="shared" si="17"/>
        <v>2.9129141478526684E-3</v>
      </c>
      <c r="Q23" s="24">
        <f t="shared" si="17"/>
        <v>6.3517727220233286E-3</v>
      </c>
      <c r="R23" s="24">
        <f t="shared" si="17"/>
        <v>4.9875311720698251E-4</v>
      </c>
      <c r="S23" s="177">
        <f t="shared" si="17"/>
        <v>3.3329605189576111E-3</v>
      </c>
      <c r="T23" s="24">
        <f>T14/T$8*-1</f>
        <v>3.7358771150323715E-3</v>
      </c>
      <c r="U23" s="177">
        <f>U14/U$8*-1</f>
        <v>3.4866586879371293E-3</v>
      </c>
      <c r="V23" s="83">
        <f t="shared" si="19"/>
        <v>3.6327338776979594E-3</v>
      </c>
      <c r="W23" s="25">
        <f t="shared" si="19"/>
        <v>3.5300638912390231E-3</v>
      </c>
      <c r="X23" s="83">
        <f t="shared" si="19"/>
        <v>6.7210391179580121E-3</v>
      </c>
      <c r="Y23" s="24">
        <f t="shared" si="20"/>
        <v>5.0132860938883967E-3</v>
      </c>
      <c r="Z23" s="177">
        <f t="shared" si="20"/>
        <v>5.839989764024201E-3</v>
      </c>
    </row>
    <row r="24" spans="1:26" x14ac:dyDescent="0.35">
      <c r="A24" s="102" t="s">
        <v>659</v>
      </c>
      <c r="B24" s="102" t="s">
        <v>660</v>
      </c>
      <c r="C24" s="24">
        <f t="shared" ref="C24:U24" si="26">C16/C$8</f>
        <v>0.77879648159352166</v>
      </c>
      <c r="D24" s="24">
        <f t="shared" si="26"/>
        <v>0.79507010215476237</v>
      </c>
      <c r="E24" s="177">
        <f t="shared" si="26"/>
        <v>0.78741295493364871</v>
      </c>
      <c r="F24" s="24">
        <f t="shared" si="26"/>
        <v>0.80905697240344698</v>
      </c>
      <c r="G24" s="177">
        <f t="shared" si="26"/>
        <v>0.79575939404539275</v>
      </c>
      <c r="H24" s="24">
        <f t="shared" si="26"/>
        <v>0.82488146450215094</v>
      </c>
      <c r="I24" s="25">
        <f t="shared" si="26"/>
        <v>0.80449442435201934</v>
      </c>
      <c r="J24" s="24">
        <f t="shared" si="26"/>
        <v>0.81457752058144739</v>
      </c>
      <c r="K24" s="24">
        <f t="shared" si="26"/>
        <v>1.0661479824865341</v>
      </c>
      <c r="L24" s="177">
        <f t="shared" si="26"/>
        <v>0.9459837441179374</v>
      </c>
      <c r="M24" s="24">
        <f t="shared" si="26"/>
        <v>0.84581200558399261</v>
      </c>
      <c r="N24" s="177">
        <f t="shared" si="26"/>
        <v>0.904489292391912</v>
      </c>
      <c r="O24" s="24">
        <f t="shared" si="26"/>
        <v>0.85430903568716776</v>
      </c>
      <c r="P24" s="246">
        <f t="shared" si="26"/>
        <v>0.88999465394579924</v>
      </c>
      <c r="Q24" s="24">
        <f t="shared" si="26"/>
        <v>0.8421757708742349</v>
      </c>
      <c r="R24" s="24">
        <f t="shared" si="26"/>
        <v>0.82429453266952291</v>
      </c>
      <c r="S24" s="177">
        <f t="shared" si="26"/>
        <v>0.83295316378542728</v>
      </c>
      <c r="T24" s="24">
        <f t="shared" si="26"/>
        <v>0.85478423724533381</v>
      </c>
      <c r="U24" s="177">
        <f t="shared" si="26"/>
        <v>0.84128093198940168</v>
      </c>
      <c r="V24" s="83">
        <f>V16/V$8</f>
        <v>0.87183976698139454</v>
      </c>
      <c r="W24" s="25">
        <f>W16/W$8</f>
        <v>0.85036127237895187</v>
      </c>
      <c r="X24" s="83">
        <f t="shared" ref="X24" si="27">X16/X$8</f>
        <v>0.80690228062226255</v>
      </c>
      <c r="Y24" s="24">
        <f>Y16/Y$8</f>
        <v>0.81713020372010625</v>
      </c>
      <c r="Z24" s="177">
        <f>Z16/Z$8</f>
        <v>0.81217898334826077</v>
      </c>
    </row>
    <row r="25" spans="1:26" x14ac:dyDescent="0.35">
      <c r="A25" s="81"/>
      <c r="B25" s="33"/>
      <c r="C25" s="3"/>
      <c r="D25" s="3"/>
      <c r="E25" s="3"/>
      <c r="F25" s="3"/>
      <c r="G25" s="3"/>
      <c r="H25" s="3"/>
      <c r="I25" s="3"/>
      <c r="J25" s="3"/>
      <c r="K25" s="3"/>
      <c r="L25" s="3"/>
      <c r="M25" s="3"/>
      <c r="N25" s="3"/>
      <c r="O25" s="29"/>
      <c r="P25" s="3"/>
      <c r="Q25" s="3"/>
      <c r="R25" s="3"/>
      <c r="S25" s="3"/>
      <c r="T25" s="3"/>
      <c r="U25" s="3"/>
      <c r="V25" s="3"/>
      <c r="W25" s="3"/>
      <c r="X25" s="3"/>
      <c r="Y25" s="3"/>
      <c r="Z25" s="3"/>
    </row>
    <row r="26" spans="1:26" s="160" customFormat="1" x14ac:dyDescent="0.35">
      <c r="A26" s="314" t="s">
        <v>661</v>
      </c>
      <c r="B26" s="314" t="s">
        <v>662</v>
      </c>
    </row>
    <row r="27" spans="1:26" s="160" customFormat="1" x14ac:dyDescent="0.35">
      <c r="A27" s="314" t="s">
        <v>663</v>
      </c>
      <c r="B27" s="314" t="s">
        <v>664</v>
      </c>
    </row>
    <row r="28" spans="1:26" s="160" customFormat="1" x14ac:dyDescent="0.35"/>
    <row r="29" spans="1:26" ht="15" thickBot="1" x14ac:dyDescent="0.4">
      <c r="Y29" s="353"/>
      <c r="Z29" s="353"/>
    </row>
    <row r="30" spans="1:26" ht="15" thickBot="1" x14ac:dyDescent="0.4">
      <c r="A30" s="282" t="s">
        <v>654</v>
      </c>
      <c r="B30" s="282" t="s">
        <v>654</v>
      </c>
      <c r="C30" s="101" t="s">
        <v>49</v>
      </c>
      <c r="D30" s="101" t="s">
        <v>50</v>
      </c>
      <c r="E30" s="101" t="s">
        <v>153</v>
      </c>
      <c r="F30" s="101" t="s">
        <v>51</v>
      </c>
      <c r="G30" s="101" t="s">
        <v>154</v>
      </c>
      <c r="H30" s="101" t="s">
        <v>52</v>
      </c>
      <c r="I30" s="101">
        <v>2021</v>
      </c>
      <c r="J30" s="101" t="s">
        <v>53</v>
      </c>
      <c r="K30" s="101" t="s">
        <v>54</v>
      </c>
      <c r="L30" s="101" t="s">
        <v>155</v>
      </c>
      <c r="M30" s="101" t="s">
        <v>55</v>
      </c>
      <c r="N30" s="101" t="s">
        <v>156</v>
      </c>
      <c r="O30" s="101" t="s">
        <v>56</v>
      </c>
      <c r="P30" s="101">
        <v>2022</v>
      </c>
      <c r="Q30" s="101" t="s">
        <v>57</v>
      </c>
      <c r="R30" s="101" t="s">
        <v>58</v>
      </c>
      <c r="S30" s="101" t="s">
        <v>159</v>
      </c>
      <c r="T30" s="101" t="s">
        <v>59</v>
      </c>
      <c r="U30" s="101" t="s">
        <v>160</v>
      </c>
      <c r="V30" s="101" t="s">
        <v>60</v>
      </c>
      <c r="W30" s="101">
        <v>2023</v>
      </c>
      <c r="X30" s="101" t="s">
        <v>61</v>
      </c>
      <c r="Y30" s="101" t="s">
        <v>1166</v>
      </c>
      <c r="Z30" s="101" t="s">
        <v>1167</v>
      </c>
    </row>
    <row r="31" spans="1:26" ht="15" thickTop="1" x14ac:dyDescent="0.35">
      <c r="A31" s="315" t="s">
        <v>665</v>
      </c>
      <c r="B31" s="284" t="s">
        <v>666</v>
      </c>
      <c r="C31" s="91" t="s">
        <v>62</v>
      </c>
      <c r="D31" s="91" t="s">
        <v>62</v>
      </c>
      <c r="E31" s="91" t="s">
        <v>62</v>
      </c>
      <c r="F31" s="91" t="s">
        <v>62</v>
      </c>
      <c r="G31" s="91" t="s">
        <v>62</v>
      </c>
      <c r="H31" s="91" t="s">
        <v>62</v>
      </c>
      <c r="I31" s="91" t="s">
        <v>62</v>
      </c>
      <c r="J31" s="91" t="s">
        <v>62</v>
      </c>
      <c r="K31" s="91" t="s">
        <v>62</v>
      </c>
      <c r="L31" s="91" t="s">
        <v>62</v>
      </c>
      <c r="M31" s="91" t="s">
        <v>62</v>
      </c>
      <c r="N31" s="91" t="s">
        <v>62</v>
      </c>
      <c r="O31" s="91" t="s">
        <v>62</v>
      </c>
      <c r="P31" s="91" t="s">
        <v>62</v>
      </c>
      <c r="Q31" s="91" t="s">
        <v>62</v>
      </c>
      <c r="R31" s="91" t="s">
        <v>62</v>
      </c>
      <c r="S31" s="91" t="s">
        <v>62</v>
      </c>
      <c r="T31" s="91" t="s">
        <v>62</v>
      </c>
      <c r="U31" s="91" t="s">
        <v>62</v>
      </c>
      <c r="V31" s="91" t="s">
        <v>62</v>
      </c>
      <c r="W31" s="91" t="s">
        <v>62</v>
      </c>
      <c r="X31" s="91" t="s">
        <v>62</v>
      </c>
      <c r="Y31" s="91" t="s">
        <v>62</v>
      </c>
      <c r="Z31" s="91" t="s">
        <v>62</v>
      </c>
    </row>
    <row r="32" spans="1:26" x14ac:dyDescent="0.35">
      <c r="A32" s="34" t="s">
        <v>128</v>
      </c>
      <c r="B32" s="34" t="s">
        <v>129</v>
      </c>
      <c r="C32" s="8">
        <v>42</v>
      </c>
      <c r="D32" s="8">
        <v>287</v>
      </c>
      <c r="E32" s="174">
        <f>C32+D32</f>
        <v>329</v>
      </c>
      <c r="F32" s="8">
        <v>340</v>
      </c>
      <c r="G32" s="174">
        <f>E32+F32</f>
        <v>669</v>
      </c>
      <c r="H32" s="8">
        <v>439</v>
      </c>
      <c r="I32" s="19">
        <f>SUM(G32+H32)</f>
        <v>1108</v>
      </c>
      <c r="J32" s="8">
        <v>370</v>
      </c>
      <c r="K32" s="8">
        <v>631</v>
      </c>
      <c r="L32" s="174">
        <f>J32+K32</f>
        <v>1001</v>
      </c>
      <c r="M32" s="8">
        <v>618</v>
      </c>
      <c r="N32" s="174">
        <f>L32+M32</f>
        <v>1619</v>
      </c>
      <c r="O32" s="8">
        <v>775</v>
      </c>
      <c r="P32" s="19">
        <f>SUM(N32+O32)</f>
        <v>2394</v>
      </c>
      <c r="Q32" s="8">
        <v>743</v>
      </c>
      <c r="R32" s="8">
        <v>879</v>
      </c>
      <c r="S32" s="174">
        <f>Q32+R32</f>
        <v>1622</v>
      </c>
      <c r="T32" s="8">
        <v>931</v>
      </c>
      <c r="U32" s="174">
        <f>S32+T32</f>
        <v>2553</v>
      </c>
      <c r="V32" s="18">
        <f>W32-U32</f>
        <v>783</v>
      </c>
      <c r="W32" s="4">
        <v>3336</v>
      </c>
      <c r="X32" s="8">
        <v>950</v>
      </c>
      <c r="Y32" s="8">
        <f>Z32-X32</f>
        <v>1195</v>
      </c>
      <c r="Z32" s="174">
        <v>2145</v>
      </c>
    </row>
    <row r="33" spans="1:26" x14ac:dyDescent="0.35">
      <c r="A33" s="34" t="s">
        <v>130</v>
      </c>
      <c r="B33" s="34" t="s">
        <v>131</v>
      </c>
      <c r="C33" s="8">
        <v>506</v>
      </c>
      <c r="D33" s="8">
        <v>614</v>
      </c>
      <c r="E33" s="174">
        <f t="shared" ref="E33:G38" si="28">C33+D33</f>
        <v>1120</v>
      </c>
      <c r="F33" s="8">
        <v>602</v>
      </c>
      <c r="G33" s="174">
        <f t="shared" si="28"/>
        <v>1722</v>
      </c>
      <c r="H33" s="8">
        <v>661</v>
      </c>
      <c r="I33" s="19">
        <f t="shared" ref="I33:I38" si="29">SUM(G33+H33)</f>
        <v>2383</v>
      </c>
      <c r="J33" s="8">
        <v>726</v>
      </c>
      <c r="K33" s="8">
        <v>857</v>
      </c>
      <c r="L33" s="174">
        <f t="shared" ref="L33:L38" si="30">J33+K33</f>
        <v>1583</v>
      </c>
      <c r="M33" s="8">
        <v>898</v>
      </c>
      <c r="N33" s="174">
        <f t="shared" ref="N33:N38" si="31">L33+M33</f>
        <v>2481</v>
      </c>
      <c r="O33" s="8">
        <v>929</v>
      </c>
      <c r="P33" s="19">
        <f t="shared" ref="P33:P38" si="32">SUM(N33+O33)</f>
        <v>3410</v>
      </c>
      <c r="Q33" s="8">
        <v>1166</v>
      </c>
      <c r="R33" s="8">
        <v>1117</v>
      </c>
      <c r="S33" s="174">
        <f t="shared" ref="S33:S38" si="33">Q33+R33</f>
        <v>2283</v>
      </c>
      <c r="T33" s="8">
        <v>1121</v>
      </c>
      <c r="U33" s="174">
        <f t="shared" ref="U33:U37" si="34">S33+T33</f>
        <v>3404</v>
      </c>
      <c r="V33" s="8">
        <f>W33-U33</f>
        <v>1154</v>
      </c>
      <c r="W33" s="149">
        <v>4558</v>
      </c>
      <c r="X33" s="8">
        <v>1365</v>
      </c>
      <c r="Y33" s="8">
        <f>Z33-X33</f>
        <v>1516</v>
      </c>
      <c r="Z33" s="174">
        <v>2881</v>
      </c>
    </row>
    <row r="34" spans="1:26" x14ac:dyDescent="0.35">
      <c r="A34" s="34" t="s">
        <v>132</v>
      </c>
      <c r="B34" s="34" t="s">
        <v>133</v>
      </c>
      <c r="C34" s="8">
        <v>93</v>
      </c>
      <c r="D34" s="8">
        <v>240</v>
      </c>
      <c r="E34" s="174">
        <f t="shared" si="28"/>
        <v>333</v>
      </c>
      <c r="F34" s="8">
        <v>116</v>
      </c>
      <c r="G34" s="174">
        <f t="shared" si="28"/>
        <v>449</v>
      </c>
      <c r="H34" s="8">
        <v>348</v>
      </c>
      <c r="I34" s="19">
        <f t="shared" si="29"/>
        <v>797</v>
      </c>
      <c r="J34" s="8">
        <v>326</v>
      </c>
      <c r="K34" s="8">
        <v>312</v>
      </c>
      <c r="L34" s="174">
        <f t="shared" si="30"/>
        <v>638</v>
      </c>
      <c r="M34" s="8">
        <v>181</v>
      </c>
      <c r="N34" s="174">
        <f t="shared" si="31"/>
        <v>819</v>
      </c>
      <c r="O34" s="8">
        <v>354</v>
      </c>
      <c r="P34" s="19">
        <f t="shared" si="32"/>
        <v>1173</v>
      </c>
      <c r="Q34" s="8">
        <v>465</v>
      </c>
      <c r="R34" s="8">
        <v>355</v>
      </c>
      <c r="S34" s="174">
        <f t="shared" si="33"/>
        <v>820</v>
      </c>
      <c r="T34" s="8">
        <v>370</v>
      </c>
      <c r="U34" s="174">
        <f t="shared" si="34"/>
        <v>1190</v>
      </c>
      <c r="V34" s="8">
        <f>W34-U34</f>
        <v>573</v>
      </c>
      <c r="W34" s="149">
        <v>1763</v>
      </c>
      <c r="X34" s="8">
        <v>660</v>
      </c>
      <c r="Y34" s="8">
        <f>Z34-X34</f>
        <v>571</v>
      </c>
      <c r="Z34" s="174">
        <v>1231</v>
      </c>
    </row>
    <row r="35" spans="1:26" x14ac:dyDescent="0.35">
      <c r="A35" s="34" t="s">
        <v>134</v>
      </c>
      <c r="B35" s="34" t="s">
        <v>135</v>
      </c>
      <c r="C35" s="8">
        <v>20801</v>
      </c>
      <c r="D35" s="8">
        <v>22919</v>
      </c>
      <c r="E35" s="174">
        <f t="shared" si="28"/>
        <v>43720</v>
      </c>
      <c r="F35" s="8">
        <v>27532</v>
      </c>
      <c r="G35" s="174">
        <f t="shared" si="28"/>
        <v>71252</v>
      </c>
      <c r="H35" s="8">
        <v>30317</v>
      </c>
      <c r="I35" s="19">
        <f t="shared" si="29"/>
        <v>101569</v>
      </c>
      <c r="J35" s="8">
        <v>27479</v>
      </c>
      <c r="K35" s="8">
        <v>29850</v>
      </c>
      <c r="L35" s="174">
        <f t="shared" si="30"/>
        <v>57329</v>
      </c>
      <c r="M35" s="8">
        <v>41204</v>
      </c>
      <c r="N35" s="174">
        <f t="shared" si="31"/>
        <v>98533</v>
      </c>
      <c r="O35" s="8">
        <v>39623</v>
      </c>
      <c r="P35" s="19">
        <f t="shared" si="32"/>
        <v>138156</v>
      </c>
      <c r="Q35" s="8">
        <v>40676</v>
      </c>
      <c r="R35" s="8">
        <v>43388</v>
      </c>
      <c r="S35" s="174">
        <f t="shared" si="33"/>
        <v>84064</v>
      </c>
      <c r="T35" s="8">
        <v>52258</v>
      </c>
      <c r="U35" s="174">
        <f>S35+T35</f>
        <v>136322</v>
      </c>
      <c r="V35" s="8">
        <f>W35-U35</f>
        <v>58253</v>
      </c>
      <c r="W35" s="149">
        <v>194575</v>
      </c>
      <c r="X35" s="8">
        <v>49425</v>
      </c>
      <c r="Y35" s="8">
        <f>Z35-X35</f>
        <v>52831</v>
      </c>
      <c r="Z35" s="174">
        <v>102256</v>
      </c>
    </row>
    <row r="36" spans="1:26" x14ac:dyDescent="0.35">
      <c r="A36" s="34" t="s">
        <v>136</v>
      </c>
      <c r="B36" s="34" t="s">
        <v>137</v>
      </c>
      <c r="C36" s="8">
        <v>45</v>
      </c>
      <c r="D36" s="8">
        <v>101</v>
      </c>
      <c r="E36" s="174">
        <f t="shared" si="28"/>
        <v>146</v>
      </c>
      <c r="F36" s="8">
        <v>14</v>
      </c>
      <c r="G36" s="174">
        <f t="shared" si="28"/>
        <v>160</v>
      </c>
      <c r="H36" s="8">
        <v>80</v>
      </c>
      <c r="I36" s="19">
        <f t="shared" si="29"/>
        <v>240</v>
      </c>
      <c r="J36" s="8">
        <v>84</v>
      </c>
      <c r="K36" s="8">
        <v>51</v>
      </c>
      <c r="L36" s="174">
        <f t="shared" si="30"/>
        <v>135</v>
      </c>
      <c r="M36" s="8">
        <v>53</v>
      </c>
      <c r="N36" s="174">
        <f t="shared" si="31"/>
        <v>188</v>
      </c>
      <c r="O36" s="8">
        <v>192</v>
      </c>
      <c r="P36" s="19">
        <f t="shared" si="32"/>
        <v>380</v>
      </c>
      <c r="Q36" s="8">
        <v>22</v>
      </c>
      <c r="R36" s="8">
        <v>48</v>
      </c>
      <c r="S36" s="174">
        <f t="shared" si="33"/>
        <v>70</v>
      </c>
      <c r="T36" s="8">
        <v>283</v>
      </c>
      <c r="U36" s="174">
        <f>S36+T36</f>
        <v>353</v>
      </c>
      <c r="V36" s="8">
        <f>W36-U36</f>
        <v>62</v>
      </c>
      <c r="W36" s="149">
        <v>415</v>
      </c>
      <c r="X36" s="8">
        <v>309</v>
      </c>
      <c r="Y36" s="8">
        <f>Z36-X36</f>
        <v>162</v>
      </c>
      <c r="Z36" s="174">
        <v>471</v>
      </c>
    </row>
    <row r="37" spans="1:26" x14ac:dyDescent="0.35">
      <c r="A37" s="34" t="s">
        <v>138</v>
      </c>
      <c r="B37" s="34" t="s">
        <v>139</v>
      </c>
      <c r="C37" s="8">
        <v>0</v>
      </c>
      <c r="D37" s="8">
        <v>0</v>
      </c>
      <c r="E37" s="174">
        <f t="shared" si="28"/>
        <v>0</v>
      </c>
      <c r="F37" s="8">
        <v>0</v>
      </c>
      <c r="G37" s="174">
        <f t="shared" si="28"/>
        <v>0</v>
      </c>
      <c r="H37" s="8">
        <v>0</v>
      </c>
      <c r="I37" s="19" t="s">
        <v>178</v>
      </c>
      <c r="J37" s="8">
        <v>0</v>
      </c>
      <c r="K37" s="8">
        <v>0</v>
      </c>
      <c r="L37" s="174">
        <f t="shared" si="30"/>
        <v>0</v>
      </c>
      <c r="M37" s="8">
        <v>0</v>
      </c>
      <c r="N37" s="174">
        <f t="shared" si="31"/>
        <v>0</v>
      </c>
      <c r="O37" s="8">
        <v>0</v>
      </c>
      <c r="P37" s="19" t="s">
        <v>178</v>
      </c>
      <c r="Q37" s="8">
        <v>0</v>
      </c>
      <c r="R37" s="8">
        <v>0</v>
      </c>
      <c r="S37" s="174">
        <f t="shared" si="33"/>
        <v>0</v>
      </c>
      <c r="T37" s="8"/>
      <c r="U37" s="174">
        <f t="shared" si="34"/>
        <v>0</v>
      </c>
      <c r="V37" s="8">
        <v>0</v>
      </c>
      <c r="W37" s="149">
        <v>0</v>
      </c>
      <c r="X37" s="8">
        <v>0</v>
      </c>
      <c r="Y37" s="8">
        <v>0</v>
      </c>
      <c r="Z37" s="174">
        <f t="shared" ref="Z37" si="35">X37+Y37</f>
        <v>0</v>
      </c>
    </row>
    <row r="38" spans="1:26" x14ac:dyDescent="0.35">
      <c r="A38" s="34" t="s">
        <v>140</v>
      </c>
      <c r="B38" s="34" t="s">
        <v>141</v>
      </c>
      <c r="C38" s="8">
        <v>0</v>
      </c>
      <c r="D38" s="8">
        <v>18</v>
      </c>
      <c r="E38" s="174">
        <f t="shared" si="28"/>
        <v>18</v>
      </c>
      <c r="F38" s="8">
        <v>59</v>
      </c>
      <c r="G38" s="174">
        <f t="shared" si="28"/>
        <v>77</v>
      </c>
      <c r="H38" s="8">
        <v>2</v>
      </c>
      <c r="I38" s="19">
        <f t="shared" si="29"/>
        <v>79</v>
      </c>
      <c r="J38" s="8">
        <v>46</v>
      </c>
      <c r="K38" s="8">
        <v>46</v>
      </c>
      <c r="L38" s="174">
        <f t="shared" si="30"/>
        <v>92</v>
      </c>
      <c r="M38" s="8">
        <v>26</v>
      </c>
      <c r="N38" s="174">
        <f t="shared" si="31"/>
        <v>118</v>
      </c>
      <c r="O38" s="8">
        <v>271</v>
      </c>
      <c r="P38" s="19">
        <f t="shared" si="32"/>
        <v>389</v>
      </c>
      <c r="Q38" s="8">
        <v>223</v>
      </c>
      <c r="R38" s="8">
        <v>328</v>
      </c>
      <c r="S38" s="174">
        <f t="shared" si="33"/>
        <v>551</v>
      </c>
      <c r="T38" s="8">
        <v>178</v>
      </c>
      <c r="U38" s="174">
        <f>S38+T38</f>
        <v>729</v>
      </c>
      <c r="V38" s="8">
        <f>W38-U38</f>
        <v>286</v>
      </c>
      <c r="W38" s="149">
        <v>1015</v>
      </c>
      <c r="X38" s="8">
        <v>259</v>
      </c>
      <c r="Y38" s="8">
        <f>Z38-X38</f>
        <v>175</v>
      </c>
      <c r="Z38" s="174">
        <v>434</v>
      </c>
    </row>
    <row r="39" spans="1:26" x14ac:dyDescent="0.35">
      <c r="A39" s="11" t="s">
        <v>142</v>
      </c>
      <c r="B39" s="11" t="s">
        <v>64</v>
      </c>
      <c r="C39" s="12">
        <f t="shared" ref="C39:T39" si="36">SUM(C32:C38)</f>
        <v>21487</v>
      </c>
      <c r="D39" s="12">
        <f t="shared" si="36"/>
        <v>24179</v>
      </c>
      <c r="E39" s="173">
        <f>SUM(E32:E38)</f>
        <v>45666</v>
      </c>
      <c r="F39" s="12">
        <f t="shared" si="36"/>
        <v>28663</v>
      </c>
      <c r="G39" s="173">
        <f>SUM(G32:G38)</f>
        <v>74329</v>
      </c>
      <c r="H39" s="12">
        <f t="shared" si="36"/>
        <v>31847</v>
      </c>
      <c r="I39" s="13">
        <f>SUM(I32:I38)</f>
        <v>106176</v>
      </c>
      <c r="J39" s="12">
        <f t="shared" si="36"/>
        <v>29031</v>
      </c>
      <c r="K39" s="12">
        <f t="shared" si="36"/>
        <v>31747</v>
      </c>
      <c r="L39" s="173">
        <f>SUM(L32:L38)</f>
        <v>60778</v>
      </c>
      <c r="M39" s="12">
        <f t="shared" si="36"/>
        <v>42980</v>
      </c>
      <c r="N39" s="173">
        <f>SUM(N32:N38)</f>
        <v>103758</v>
      </c>
      <c r="O39" s="12">
        <f t="shared" si="36"/>
        <v>42144</v>
      </c>
      <c r="P39" s="13">
        <f t="shared" si="36"/>
        <v>145902</v>
      </c>
      <c r="Q39" s="12">
        <f t="shared" si="36"/>
        <v>43295</v>
      </c>
      <c r="R39" s="12">
        <f t="shared" si="36"/>
        <v>46115</v>
      </c>
      <c r="S39" s="173">
        <f>SUM(S32:S38)</f>
        <v>89410</v>
      </c>
      <c r="T39" s="12">
        <f t="shared" si="36"/>
        <v>55141</v>
      </c>
      <c r="U39" s="173">
        <f>SUM(U32:U38)</f>
        <v>144551</v>
      </c>
      <c r="V39" s="12">
        <f>W39-U39</f>
        <v>61111</v>
      </c>
      <c r="W39" s="13">
        <v>205662</v>
      </c>
      <c r="X39" s="12">
        <f t="shared" ref="X39" si="37">SUM(X32:X38)</f>
        <v>52968</v>
      </c>
      <c r="Y39" s="12">
        <f>Z39-X39</f>
        <v>56450</v>
      </c>
      <c r="Z39" s="173">
        <f>SUM(Z32:Z38)</f>
        <v>109418</v>
      </c>
    </row>
    <row r="40" spans="1:26" x14ac:dyDescent="0.35">
      <c r="E40" s="20"/>
      <c r="I40" s="10"/>
    </row>
    <row r="41" spans="1:26" ht="15" thickBot="1" x14ac:dyDescent="0.4">
      <c r="Y41" s="353"/>
      <c r="Z41" s="353"/>
    </row>
    <row r="42" spans="1:26" ht="15" thickBot="1" x14ac:dyDescent="0.4">
      <c r="A42" s="508" t="s">
        <v>667</v>
      </c>
      <c r="B42" s="508" t="s">
        <v>667</v>
      </c>
      <c r="C42" s="101" t="s">
        <v>49</v>
      </c>
      <c r="D42" s="101" t="s">
        <v>50</v>
      </c>
      <c r="E42" s="101" t="s">
        <v>153</v>
      </c>
      <c r="F42" s="101" t="s">
        <v>51</v>
      </c>
      <c r="G42" s="101" t="s">
        <v>154</v>
      </c>
      <c r="H42" s="101" t="s">
        <v>52</v>
      </c>
      <c r="I42" s="101">
        <v>2021</v>
      </c>
      <c r="J42" s="101" t="s">
        <v>53</v>
      </c>
      <c r="K42" s="101" t="s">
        <v>54</v>
      </c>
      <c r="L42" s="101" t="s">
        <v>155</v>
      </c>
      <c r="M42" s="101" t="s">
        <v>55</v>
      </c>
      <c r="N42" s="101" t="s">
        <v>156</v>
      </c>
      <c r="O42" s="101" t="s">
        <v>56</v>
      </c>
      <c r="P42" s="101">
        <v>2022</v>
      </c>
      <c r="Q42" s="101" t="s">
        <v>57</v>
      </c>
      <c r="R42" s="101" t="s">
        <v>58</v>
      </c>
      <c r="S42" s="101" t="s">
        <v>159</v>
      </c>
      <c r="T42" s="101" t="s">
        <v>59</v>
      </c>
      <c r="U42" s="101" t="s">
        <v>160</v>
      </c>
      <c r="V42" s="101" t="s">
        <v>60</v>
      </c>
      <c r="W42" s="101">
        <v>2023</v>
      </c>
      <c r="X42" s="101" t="s">
        <v>61</v>
      </c>
      <c r="Y42" s="101" t="s">
        <v>1166</v>
      </c>
      <c r="Z42" s="101" t="s">
        <v>1167</v>
      </c>
    </row>
    <row r="43" spans="1:26" ht="15" thickTop="1" x14ac:dyDescent="0.35">
      <c r="A43" s="509"/>
      <c r="B43" s="509"/>
      <c r="C43" s="91" t="s">
        <v>62</v>
      </c>
      <c r="D43" s="91" t="s">
        <v>62</v>
      </c>
      <c r="E43" s="91" t="s">
        <v>62</v>
      </c>
      <c r="F43" s="91" t="s">
        <v>62</v>
      </c>
      <c r="G43" s="91" t="s">
        <v>62</v>
      </c>
      <c r="H43" s="91" t="s">
        <v>62</v>
      </c>
      <c r="I43" s="91" t="s">
        <v>62</v>
      </c>
      <c r="J43" s="91" t="s">
        <v>62</v>
      </c>
      <c r="K43" s="91" t="s">
        <v>62</v>
      </c>
      <c r="L43" s="91" t="s">
        <v>62</v>
      </c>
      <c r="M43" s="91" t="s">
        <v>62</v>
      </c>
      <c r="N43" s="91" t="s">
        <v>62</v>
      </c>
      <c r="O43" s="91" t="s">
        <v>62</v>
      </c>
      <c r="P43" s="91" t="s">
        <v>62</v>
      </c>
      <c r="Q43" s="91" t="s">
        <v>62</v>
      </c>
      <c r="R43" s="91" t="s">
        <v>62</v>
      </c>
      <c r="S43" s="91" t="s">
        <v>62</v>
      </c>
      <c r="T43" s="91" t="s">
        <v>62</v>
      </c>
      <c r="U43" s="91" t="s">
        <v>62</v>
      </c>
      <c r="V43" s="91" t="s">
        <v>62</v>
      </c>
      <c r="W43" s="91" t="s">
        <v>62</v>
      </c>
      <c r="X43" s="91" t="s">
        <v>62</v>
      </c>
      <c r="Y43" s="91" t="s">
        <v>62</v>
      </c>
      <c r="Z43" s="91" t="s">
        <v>62</v>
      </c>
    </row>
    <row r="44" spans="1:26" x14ac:dyDescent="0.35">
      <c r="A44" s="34" t="s">
        <v>668</v>
      </c>
      <c r="B44" s="34" t="s">
        <v>668</v>
      </c>
      <c r="C44" s="8">
        <v>20801</v>
      </c>
      <c r="D44" s="8">
        <f>E44-C44</f>
        <v>22919</v>
      </c>
      <c r="E44" s="174">
        <v>43720</v>
      </c>
      <c r="F44" s="8">
        <f>G44-E44</f>
        <v>27532</v>
      </c>
      <c r="G44" s="174">
        <v>71252</v>
      </c>
      <c r="H44" s="8">
        <f>I44-G44</f>
        <v>30317</v>
      </c>
      <c r="I44" s="9">
        <v>101569</v>
      </c>
      <c r="J44" s="8">
        <v>27479</v>
      </c>
      <c r="K44" s="8">
        <f>L44-J44</f>
        <v>29851</v>
      </c>
      <c r="L44" s="174">
        <v>57330</v>
      </c>
      <c r="M44" s="8">
        <f>N44-L44</f>
        <v>41204</v>
      </c>
      <c r="N44" s="174">
        <f>SUM(N45:N46)</f>
        <v>98534</v>
      </c>
      <c r="O44" s="8">
        <f>P44-N44</f>
        <v>39623</v>
      </c>
      <c r="P44" s="9">
        <f>SUM(P45:P46)</f>
        <v>138157</v>
      </c>
      <c r="Q44" s="8">
        <f>SUM(Q45:Q47)</f>
        <v>40675</v>
      </c>
      <c r="R44" s="8">
        <f>S44-Q44</f>
        <v>43389</v>
      </c>
      <c r="S44" s="174">
        <f>SUM(S45:S47)</f>
        <v>84064</v>
      </c>
      <c r="T44" s="8">
        <f>U44-S44</f>
        <v>52257</v>
      </c>
      <c r="U44" s="174">
        <f>SUM(U45:U47)</f>
        <v>136321</v>
      </c>
      <c r="V44" s="8">
        <f>+W44-U44</f>
        <v>58254</v>
      </c>
      <c r="W44" s="4">
        <v>194575</v>
      </c>
      <c r="X44" s="8">
        <f>X45+X46+X47</f>
        <v>49425</v>
      </c>
      <c r="Y44" s="8">
        <f>Z44-X44</f>
        <v>52830</v>
      </c>
      <c r="Z44" s="174">
        <f>SUM(Z45:Z47)</f>
        <v>102255</v>
      </c>
    </row>
    <row r="45" spans="1:26" x14ac:dyDescent="0.35">
      <c r="A45" s="118" t="s">
        <v>669</v>
      </c>
      <c r="B45" s="118" t="s">
        <v>669</v>
      </c>
      <c r="C45" s="8">
        <v>20801</v>
      </c>
      <c r="D45" s="8">
        <f t="shared" ref="D45:D48" si="38">E45-C45</f>
        <v>22919</v>
      </c>
      <c r="E45" s="174">
        <v>43720</v>
      </c>
      <c r="F45" s="8">
        <f>G45-E45</f>
        <v>27532</v>
      </c>
      <c r="G45" s="174">
        <v>71252</v>
      </c>
      <c r="H45" s="8">
        <f>I45-G45</f>
        <v>30317</v>
      </c>
      <c r="I45" s="9">
        <v>101569</v>
      </c>
      <c r="J45" s="8">
        <v>27479</v>
      </c>
      <c r="K45" s="8">
        <f>L45-J45</f>
        <v>29851</v>
      </c>
      <c r="L45" s="174">
        <v>57330</v>
      </c>
      <c r="M45" s="8">
        <f>N45-L45</f>
        <v>41188</v>
      </c>
      <c r="N45" s="174">
        <v>98518</v>
      </c>
      <c r="O45" s="8">
        <f>P45-N45</f>
        <v>39596</v>
      </c>
      <c r="P45" s="9">
        <v>138114</v>
      </c>
      <c r="Q45" s="8">
        <v>40631</v>
      </c>
      <c r="R45" s="8">
        <f>S45-Q45</f>
        <v>43332</v>
      </c>
      <c r="S45" s="174">
        <v>83963</v>
      </c>
      <c r="T45" s="8">
        <f>U45-S45</f>
        <v>52162</v>
      </c>
      <c r="U45" s="174">
        <v>136125</v>
      </c>
      <c r="V45" s="8">
        <f>W45-U45</f>
        <v>58159</v>
      </c>
      <c r="W45" s="149">
        <v>194284</v>
      </c>
      <c r="X45" s="8">
        <v>49290</v>
      </c>
      <c r="Y45" s="8">
        <f>Z45-X45</f>
        <v>52729</v>
      </c>
      <c r="Z45" s="174">
        <v>102019</v>
      </c>
    </row>
    <row r="46" spans="1:26" x14ac:dyDescent="0.35">
      <c r="A46" s="118" t="s">
        <v>670</v>
      </c>
      <c r="B46" s="118" t="s">
        <v>671</v>
      </c>
      <c r="C46" s="158" t="s">
        <v>178</v>
      </c>
      <c r="D46" s="158" t="s">
        <v>178</v>
      </c>
      <c r="E46" s="187" t="s">
        <v>178</v>
      </c>
      <c r="F46" s="158" t="s">
        <v>178</v>
      </c>
      <c r="G46" s="187" t="s">
        <v>178</v>
      </c>
      <c r="H46" s="158" t="s">
        <v>178</v>
      </c>
      <c r="I46" s="186" t="s">
        <v>178</v>
      </c>
      <c r="J46" s="119" t="s">
        <v>178</v>
      </c>
      <c r="K46" s="158" t="s">
        <v>178</v>
      </c>
      <c r="L46" s="188" t="s">
        <v>178</v>
      </c>
      <c r="M46" s="158">
        <v>16</v>
      </c>
      <c r="N46" s="174">
        <v>16</v>
      </c>
      <c r="O46" s="158">
        <v>27</v>
      </c>
      <c r="P46" s="9">
        <v>43</v>
      </c>
      <c r="Q46" s="8">
        <v>33</v>
      </c>
      <c r="R46" s="158">
        <v>43</v>
      </c>
      <c r="S46" s="174">
        <v>76</v>
      </c>
      <c r="T46" s="158">
        <v>68</v>
      </c>
      <c r="U46" s="174">
        <v>144</v>
      </c>
      <c r="V46" s="158">
        <f>W46-U46</f>
        <v>63</v>
      </c>
      <c r="W46" s="149">
        <v>207</v>
      </c>
      <c r="X46" s="8">
        <v>106</v>
      </c>
      <c r="Y46" s="158">
        <f>Z46-X46</f>
        <v>73</v>
      </c>
      <c r="Z46" s="174">
        <v>179</v>
      </c>
    </row>
    <row r="47" spans="1:26" x14ac:dyDescent="0.35">
      <c r="A47" s="118" t="s">
        <v>672</v>
      </c>
      <c r="B47" s="118" t="s">
        <v>672</v>
      </c>
      <c r="C47" s="158" t="s">
        <v>178</v>
      </c>
      <c r="D47" s="158" t="s">
        <v>178</v>
      </c>
      <c r="E47" s="187" t="s">
        <v>178</v>
      </c>
      <c r="F47" s="158" t="s">
        <v>178</v>
      </c>
      <c r="G47" s="187" t="s">
        <v>178</v>
      </c>
      <c r="H47" s="158" t="s">
        <v>178</v>
      </c>
      <c r="I47" s="186" t="s">
        <v>178</v>
      </c>
      <c r="J47" s="119" t="s">
        <v>178</v>
      </c>
      <c r="K47" s="158" t="s">
        <v>178</v>
      </c>
      <c r="L47" s="188" t="s">
        <v>178</v>
      </c>
      <c r="M47" s="158" t="s">
        <v>178</v>
      </c>
      <c r="N47" s="188" t="s">
        <v>178</v>
      </c>
      <c r="O47" s="158" t="s">
        <v>178</v>
      </c>
      <c r="P47" s="159" t="s">
        <v>178</v>
      </c>
      <c r="Q47" s="8">
        <v>11</v>
      </c>
      <c r="R47" s="158">
        <v>14</v>
      </c>
      <c r="S47" s="174">
        <v>25</v>
      </c>
      <c r="T47" s="158">
        <v>27</v>
      </c>
      <c r="U47" s="174">
        <v>52</v>
      </c>
      <c r="V47" s="158">
        <f>W47-U47</f>
        <v>32</v>
      </c>
      <c r="W47" s="149">
        <v>84</v>
      </c>
      <c r="X47" s="8">
        <v>29</v>
      </c>
      <c r="Y47" s="158">
        <f>Z47-X47</f>
        <v>28</v>
      </c>
      <c r="Z47" s="174">
        <v>57</v>
      </c>
    </row>
    <row r="48" spans="1:26" x14ac:dyDescent="0.35">
      <c r="A48" s="34" t="s">
        <v>673</v>
      </c>
      <c r="B48" s="34" t="s">
        <v>674</v>
      </c>
      <c r="C48" s="8">
        <v>686</v>
      </c>
      <c r="D48" s="8">
        <f t="shared" si="38"/>
        <v>1260</v>
      </c>
      <c r="E48" s="174">
        <v>1946</v>
      </c>
      <c r="F48" s="8">
        <f>G48-E48</f>
        <v>1131</v>
      </c>
      <c r="G48" s="174">
        <v>3077</v>
      </c>
      <c r="H48" s="8">
        <f>I48-G48</f>
        <v>1530</v>
      </c>
      <c r="I48" s="9">
        <v>4607</v>
      </c>
      <c r="J48" s="8">
        <v>1551</v>
      </c>
      <c r="K48" s="8">
        <f>L48-J48</f>
        <v>1898</v>
      </c>
      <c r="L48" s="174">
        <v>3449</v>
      </c>
      <c r="M48" s="8">
        <f>N48-L48</f>
        <v>1775</v>
      </c>
      <c r="N48" s="174">
        <v>5224</v>
      </c>
      <c r="O48" s="8">
        <f>P48-N48</f>
        <v>2521</v>
      </c>
      <c r="P48" s="9">
        <v>7745</v>
      </c>
      <c r="Q48" s="8">
        <v>2620</v>
      </c>
      <c r="R48" s="8">
        <f>S48-Q48</f>
        <v>2726</v>
      </c>
      <c r="S48" s="174">
        <v>5346</v>
      </c>
      <c r="T48" s="8">
        <f>U48-S48</f>
        <v>2883</v>
      </c>
      <c r="U48" s="174">
        <v>8229</v>
      </c>
      <c r="V48" s="8">
        <f>W48-U48</f>
        <v>2858</v>
      </c>
      <c r="W48" s="149">
        <v>11087</v>
      </c>
      <c r="X48" s="8">
        <f>3830-287.2</f>
        <v>3542.8</v>
      </c>
      <c r="Y48" s="8">
        <f>Z48-X48</f>
        <v>3619.2</v>
      </c>
      <c r="Z48" s="174">
        <v>7162</v>
      </c>
    </row>
    <row r="49" spans="1:26" x14ac:dyDescent="0.35">
      <c r="A49" s="11" t="s">
        <v>142</v>
      </c>
      <c r="B49" s="11" t="s">
        <v>64</v>
      </c>
      <c r="C49" s="12">
        <v>21487</v>
      </c>
      <c r="D49" s="12">
        <f>D44+D48</f>
        <v>24179</v>
      </c>
      <c r="E49" s="173">
        <v>45666</v>
      </c>
      <c r="F49" s="12">
        <f>F44+F48</f>
        <v>28663</v>
      </c>
      <c r="G49" s="173">
        <v>74329</v>
      </c>
      <c r="H49" s="12">
        <f>H44+H48</f>
        <v>31847</v>
      </c>
      <c r="I49" s="13">
        <v>106176</v>
      </c>
      <c r="J49" s="12">
        <v>29030</v>
      </c>
      <c r="K49" s="12">
        <f>K44+K48</f>
        <v>31749</v>
      </c>
      <c r="L49" s="173">
        <v>60779</v>
      </c>
      <c r="M49" s="12">
        <f>M44+M48</f>
        <v>42979</v>
      </c>
      <c r="N49" s="173">
        <v>103758</v>
      </c>
      <c r="O49" s="12">
        <f>O44+O48</f>
        <v>42144</v>
      </c>
      <c r="P49" s="13">
        <v>145902</v>
      </c>
      <c r="Q49" s="12">
        <v>43295</v>
      </c>
      <c r="R49" s="12">
        <f>R44+R48</f>
        <v>46115</v>
      </c>
      <c r="S49" s="173">
        <v>89410</v>
      </c>
      <c r="T49" s="12">
        <f>T44+T48</f>
        <v>55140</v>
      </c>
      <c r="U49" s="173">
        <v>144550</v>
      </c>
      <c r="V49" s="12">
        <f>W49-U49</f>
        <v>61112</v>
      </c>
      <c r="W49" s="13">
        <v>205662</v>
      </c>
      <c r="X49" s="12">
        <f>X44+X48</f>
        <v>52967.8</v>
      </c>
      <c r="Y49" s="12">
        <f>Y44+Y48</f>
        <v>56449.2</v>
      </c>
      <c r="Z49" s="173">
        <f>SUM(Z44+Z48)</f>
        <v>109417</v>
      </c>
    </row>
    <row r="50" spans="1:26" x14ac:dyDescent="0.35">
      <c r="D50" s="20"/>
      <c r="E50" s="20"/>
    </row>
    <row r="51" spans="1:26" ht="15" customHeight="1" x14ac:dyDescent="0.35"/>
    <row r="56" spans="1:26" ht="15" customHeight="1" x14ac:dyDescent="0.35"/>
  </sheetData>
  <mergeCells count="4">
    <mergeCell ref="B2:B3"/>
    <mergeCell ref="A2:A3"/>
    <mergeCell ref="B42:B43"/>
    <mergeCell ref="A42:A43"/>
  </mergeCells>
  <pageMargins left="0.7" right="0.7" top="0.75" bottom="0.75" header="0.3" footer="0.3"/>
  <pageSetup paperSize="9" orientation="portrait" r:id="rId1"/>
  <ignoredErrors>
    <ignoredError sqref="E10:K10 E16:H16 I16:K16 Q16:U16 P10:U10 M10 M16 R44 L10:L16 N10:N16" formula="1"/>
    <ignoredError sqref="Q44 U44" formulaRange="1"/>
    <ignoredError sqref="S44" formula="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3732-174E-43ED-A565-92021BE0F61B}">
  <sheetPr>
    <tabColor rgb="FF0070C0"/>
  </sheetPr>
  <dimension ref="A1:AA73"/>
  <sheetViews>
    <sheetView zoomScale="68" zoomScaleNormal="68" workbookViewId="0">
      <pane xSplit="2" topLeftCell="C1" activePane="topRight" state="frozen"/>
      <selection activeCell="A31" sqref="A31"/>
      <selection pane="topRight" activeCell="P50" sqref="P50"/>
    </sheetView>
  </sheetViews>
  <sheetFormatPr defaultRowHeight="14.5" x14ac:dyDescent="0.35"/>
  <cols>
    <col min="1" max="1" width="42.81640625" customWidth="1"/>
    <col min="2" max="2" width="49.54296875" customWidth="1"/>
    <col min="3" max="26" width="13.453125" customWidth="1"/>
    <col min="27" max="27" width="9.1796875" bestFit="1" customWidth="1"/>
  </cols>
  <sheetData>
    <row r="1" spans="1:26" ht="31.5" customHeight="1" thickBot="1" x14ac:dyDescent="0.65">
      <c r="A1" s="39"/>
      <c r="B1" s="39"/>
      <c r="I1" s="189"/>
      <c r="N1" s="39"/>
      <c r="O1" s="39"/>
      <c r="P1" s="189"/>
      <c r="Y1" s="353"/>
      <c r="Z1" s="353"/>
    </row>
    <row r="2" spans="1:26" ht="15" thickBot="1" x14ac:dyDescent="0.4">
      <c r="A2" s="507" t="s">
        <v>652</v>
      </c>
      <c r="B2" s="506" t="s">
        <v>653</v>
      </c>
      <c r="C2" s="101" t="s">
        <v>49</v>
      </c>
      <c r="D2" s="101" t="s">
        <v>50</v>
      </c>
      <c r="E2" s="101" t="s">
        <v>153</v>
      </c>
      <c r="F2" s="101" t="s">
        <v>51</v>
      </c>
      <c r="G2" s="101" t="s">
        <v>154</v>
      </c>
      <c r="H2" s="101" t="s">
        <v>52</v>
      </c>
      <c r="I2" s="101">
        <v>2021</v>
      </c>
      <c r="J2" s="101" t="s">
        <v>53</v>
      </c>
      <c r="K2" s="101" t="s">
        <v>54</v>
      </c>
      <c r="L2" s="101" t="s">
        <v>155</v>
      </c>
      <c r="M2" s="101" t="s">
        <v>55</v>
      </c>
      <c r="N2" s="101" t="s">
        <v>156</v>
      </c>
      <c r="O2" s="101" t="s">
        <v>56</v>
      </c>
      <c r="P2" s="101">
        <v>2022</v>
      </c>
      <c r="Q2" s="101" t="s">
        <v>57</v>
      </c>
      <c r="R2" s="101" t="s">
        <v>58</v>
      </c>
      <c r="S2" s="101" t="s">
        <v>159</v>
      </c>
      <c r="T2" s="101" t="s">
        <v>59</v>
      </c>
      <c r="U2" s="101" t="s">
        <v>160</v>
      </c>
      <c r="V2" s="101" t="s">
        <v>60</v>
      </c>
      <c r="W2" s="101">
        <v>2023</v>
      </c>
      <c r="X2" s="101" t="s">
        <v>61</v>
      </c>
      <c r="Y2" s="101" t="s">
        <v>1166</v>
      </c>
      <c r="Z2" s="101" t="s">
        <v>1167</v>
      </c>
    </row>
    <row r="3" spans="1:26" ht="15" thickTop="1" x14ac:dyDescent="0.35">
      <c r="A3" s="507"/>
      <c r="B3" s="506"/>
      <c r="C3" s="91" t="s">
        <v>62</v>
      </c>
      <c r="D3" s="91" t="s">
        <v>62</v>
      </c>
      <c r="E3" s="91" t="s">
        <v>62</v>
      </c>
      <c r="F3" s="91" t="s">
        <v>62</v>
      </c>
      <c r="G3" s="91" t="s">
        <v>62</v>
      </c>
      <c r="H3" s="91" t="s">
        <v>62</v>
      </c>
      <c r="I3" s="91" t="s">
        <v>62</v>
      </c>
      <c r="J3" s="91" t="s">
        <v>62</v>
      </c>
      <c r="K3" s="91" t="s">
        <v>62</v>
      </c>
      <c r="L3" s="91" t="s">
        <v>62</v>
      </c>
      <c r="M3" s="91" t="s">
        <v>62</v>
      </c>
      <c r="N3" s="91" t="s">
        <v>62</v>
      </c>
      <c r="O3" s="91" t="s">
        <v>62</v>
      </c>
      <c r="P3" s="91" t="s">
        <v>62</v>
      </c>
      <c r="Q3" s="91" t="s">
        <v>62</v>
      </c>
      <c r="R3" s="91" t="s">
        <v>62</v>
      </c>
      <c r="S3" s="91" t="s">
        <v>62</v>
      </c>
      <c r="T3" s="91" t="s">
        <v>62</v>
      </c>
      <c r="U3" s="91" t="s">
        <v>62</v>
      </c>
      <c r="V3" s="91" t="s">
        <v>62</v>
      </c>
      <c r="W3" s="91" t="s">
        <v>62</v>
      </c>
      <c r="X3" s="91" t="s">
        <v>62</v>
      </c>
      <c r="Y3" s="91" t="s">
        <v>62</v>
      </c>
      <c r="Z3" s="91" t="s">
        <v>62</v>
      </c>
    </row>
    <row r="4" spans="1:26" x14ac:dyDescent="0.35">
      <c r="A4" s="103" t="s">
        <v>63</v>
      </c>
      <c r="B4" s="92" t="s">
        <v>64</v>
      </c>
      <c r="C4" s="93">
        <v>112069</v>
      </c>
      <c r="D4" s="93">
        <v>125279</v>
      </c>
      <c r="E4" s="185">
        <f>C4+D4</f>
        <v>237348</v>
      </c>
      <c r="F4" s="93">
        <v>126367</v>
      </c>
      <c r="G4" s="185">
        <f>E4+F4</f>
        <v>363715</v>
      </c>
      <c r="H4" s="93">
        <v>141304</v>
      </c>
      <c r="I4" s="94">
        <f>G4+H4</f>
        <v>505019</v>
      </c>
      <c r="J4" s="93">
        <v>135308</v>
      </c>
      <c r="K4" s="93">
        <v>157441</v>
      </c>
      <c r="L4" s="185">
        <f>J4+K4</f>
        <v>292749</v>
      </c>
      <c r="M4" s="93">
        <v>180364</v>
      </c>
      <c r="N4" s="185">
        <f>L4+M4</f>
        <v>473113</v>
      </c>
      <c r="O4" s="93">
        <v>183230</v>
      </c>
      <c r="P4" s="94">
        <f>N4+O4</f>
        <v>656343</v>
      </c>
      <c r="Q4" s="93">
        <v>177759</v>
      </c>
      <c r="R4" s="93">
        <v>184380</v>
      </c>
      <c r="S4" s="185">
        <f>Q4+R4</f>
        <v>362139</v>
      </c>
      <c r="T4" s="93">
        <v>185307</v>
      </c>
      <c r="U4" s="185">
        <f>S4+T4</f>
        <v>547446</v>
      </c>
      <c r="V4" s="93">
        <f>W4-U4</f>
        <v>200000</v>
      </c>
      <c r="W4" s="94">
        <v>747446</v>
      </c>
      <c r="X4" s="93">
        <f>'Business Unit Information'!AG4</f>
        <v>200125</v>
      </c>
      <c r="Y4" s="93">
        <f>Z4-X4</f>
        <v>213254</v>
      </c>
      <c r="Z4" s="185">
        <v>413379</v>
      </c>
    </row>
    <row r="5" spans="1:26" ht="15" thickBot="1" x14ac:dyDescent="0.4">
      <c r="A5" s="103"/>
      <c r="B5" s="92"/>
      <c r="C5" s="93"/>
      <c r="D5" s="93"/>
      <c r="E5" s="93"/>
      <c r="F5" s="93"/>
      <c r="G5" s="93"/>
      <c r="H5" s="93"/>
      <c r="I5" s="93"/>
      <c r="J5" s="93"/>
      <c r="K5" s="93"/>
      <c r="L5" s="93"/>
      <c r="M5" s="93"/>
      <c r="N5" s="93"/>
      <c r="O5" s="93"/>
      <c r="P5" s="93"/>
      <c r="Q5" s="93"/>
      <c r="R5" s="93"/>
      <c r="S5" s="93"/>
      <c r="T5" s="93"/>
      <c r="U5" s="93"/>
      <c r="V5" s="93"/>
      <c r="W5" s="93"/>
      <c r="X5" s="93"/>
      <c r="Y5" s="93"/>
      <c r="Z5" s="93"/>
    </row>
    <row r="6" spans="1:26" ht="15" thickBot="1" x14ac:dyDescent="0.4">
      <c r="A6" s="282" t="s">
        <v>1114</v>
      </c>
      <c r="B6" s="282" t="s">
        <v>1115</v>
      </c>
      <c r="C6" s="101" t="s">
        <v>49</v>
      </c>
      <c r="D6" s="101" t="s">
        <v>50</v>
      </c>
      <c r="E6" s="101" t="s">
        <v>153</v>
      </c>
      <c r="F6" s="101" t="s">
        <v>51</v>
      </c>
      <c r="G6" s="101" t="s">
        <v>154</v>
      </c>
      <c r="H6" s="101" t="s">
        <v>52</v>
      </c>
      <c r="I6" s="101">
        <v>2021</v>
      </c>
      <c r="J6" s="101" t="s">
        <v>53</v>
      </c>
      <c r="K6" s="101" t="s">
        <v>54</v>
      </c>
      <c r="L6" s="101" t="s">
        <v>155</v>
      </c>
      <c r="M6" s="101" t="s">
        <v>55</v>
      </c>
      <c r="N6" s="101" t="s">
        <v>156</v>
      </c>
      <c r="O6" s="101" t="s">
        <v>56</v>
      </c>
      <c r="P6" s="101">
        <v>2022</v>
      </c>
      <c r="Q6" s="101" t="s">
        <v>57</v>
      </c>
      <c r="R6" s="101" t="s">
        <v>58</v>
      </c>
      <c r="S6" s="101" t="s">
        <v>159</v>
      </c>
      <c r="T6" s="101" t="s">
        <v>59</v>
      </c>
      <c r="U6" s="101" t="s">
        <v>160</v>
      </c>
      <c r="V6" s="101" t="s">
        <v>60</v>
      </c>
      <c r="W6" s="101">
        <v>2023</v>
      </c>
      <c r="X6" s="101" t="s">
        <v>61</v>
      </c>
      <c r="Y6" s="101" t="s">
        <v>1166</v>
      </c>
      <c r="Z6" s="101" t="s">
        <v>1167</v>
      </c>
    </row>
    <row r="7" spans="1:26" ht="15" thickTop="1" x14ac:dyDescent="0.35">
      <c r="A7" s="283" t="s">
        <v>675</v>
      </c>
      <c r="B7" s="284" t="s">
        <v>676</v>
      </c>
      <c r="C7" s="91" t="s">
        <v>62</v>
      </c>
      <c r="D7" s="91" t="s">
        <v>62</v>
      </c>
      <c r="E7" s="91" t="s">
        <v>62</v>
      </c>
      <c r="F7" s="91" t="s">
        <v>62</v>
      </c>
      <c r="G7" s="91" t="s">
        <v>62</v>
      </c>
      <c r="H7" s="91" t="s">
        <v>62</v>
      </c>
      <c r="I7" s="91" t="s">
        <v>62</v>
      </c>
      <c r="J7" s="91" t="s">
        <v>62</v>
      </c>
      <c r="K7" s="91" t="s">
        <v>62</v>
      </c>
      <c r="L7" s="91" t="s">
        <v>62</v>
      </c>
      <c r="M7" s="91" t="s">
        <v>62</v>
      </c>
      <c r="N7" s="91" t="s">
        <v>62</v>
      </c>
      <c r="O7" s="91" t="s">
        <v>62</v>
      </c>
      <c r="P7" s="91" t="s">
        <v>62</v>
      </c>
      <c r="Q7" s="91" t="s">
        <v>62</v>
      </c>
      <c r="R7" s="91" t="s">
        <v>62</v>
      </c>
      <c r="S7" s="91" t="s">
        <v>62</v>
      </c>
      <c r="T7" s="91" t="s">
        <v>62</v>
      </c>
      <c r="U7" s="91" t="s">
        <v>62</v>
      </c>
      <c r="V7" s="91" t="s">
        <v>62</v>
      </c>
      <c r="W7" s="91" t="s">
        <v>62</v>
      </c>
      <c r="X7" s="91" t="s">
        <v>62</v>
      </c>
      <c r="Y7" s="91" t="s">
        <v>62</v>
      </c>
      <c r="Z7" s="91" t="s">
        <v>62</v>
      </c>
    </row>
    <row r="8" spans="1:26" x14ac:dyDescent="0.35">
      <c r="A8" s="33" t="s">
        <v>63</v>
      </c>
      <c r="B8" s="33" t="s">
        <v>64</v>
      </c>
      <c r="C8" s="3">
        <v>37935</v>
      </c>
      <c r="D8" s="3">
        <v>42302</v>
      </c>
      <c r="E8" s="171">
        <f>C8+D8</f>
        <v>80237</v>
      </c>
      <c r="F8" s="3">
        <v>40190</v>
      </c>
      <c r="G8" s="171">
        <f>E8+F8</f>
        <v>120427</v>
      </c>
      <c r="H8" s="3">
        <v>44716</v>
      </c>
      <c r="I8" s="4">
        <f>G8+H8</f>
        <v>165143</v>
      </c>
      <c r="J8" s="3">
        <v>44782</v>
      </c>
      <c r="K8" s="3">
        <v>58066</v>
      </c>
      <c r="L8" s="171">
        <f>J8+K8</f>
        <v>102848</v>
      </c>
      <c r="M8" s="3">
        <v>62960</v>
      </c>
      <c r="N8" s="171">
        <f>L8+M8</f>
        <v>165808</v>
      </c>
      <c r="O8" s="3">
        <v>63398</v>
      </c>
      <c r="P8" s="4">
        <f>N8+O8</f>
        <v>229206</v>
      </c>
      <c r="Q8" s="3">
        <v>63320</v>
      </c>
      <c r="R8" s="3">
        <v>66418</v>
      </c>
      <c r="S8" s="171">
        <f>Q8+R8</f>
        <v>129738</v>
      </c>
      <c r="T8" s="3">
        <v>62195</v>
      </c>
      <c r="U8" s="171">
        <f>S8+T8</f>
        <v>191933</v>
      </c>
      <c r="V8" s="3">
        <f>W8-U8</f>
        <v>63740</v>
      </c>
      <c r="W8" s="4">
        <v>255673</v>
      </c>
      <c r="X8" s="3">
        <f>'Business Unit Information'!AG6</f>
        <v>74188</v>
      </c>
      <c r="Y8" s="3">
        <v>75331</v>
      </c>
      <c r="Z8" s="171">
        <f>SUM(X8:Y8)</f>
        <v>149519</v>
      </c>
    </row>
    <row r="9" spans="1:26" x14ac:dyDescent="0.35">
      <c r="A9" s="34" t="s">
        <v>163</v>
      </c>
      <c r="B9" s="34" t="s">
        <v>164</v>
      </c>
      <c r="C9" s="8">
        <v>-8795</v>
      </c>
      <c r="D9" s="8">
        <v>-11726</v>
      </c>
      <c r="E9" s="174">
        <f>C9+D9</f>
        <v>-20521</v>
      </c>
      <c r="F9" s="8">
        <v>-12339</v>
      </c>
      <c r="G9" s="174">
        <f t="shared" ref="G9:G16" si="0">E9+F9</f>
        <v>-32860</v>
      </c>
      <c r="H9" s="8">
        <v>-13669</v>
      </c>
      <c r="I9" s="9">
        <f t="shared" ref="I9:I16" si="1">G9+H9</f>
        <v>-46529</v>
      </c>
      <c r="J9" s="6">
        <v>-10251</v>
      </c>
      <c r="K9" s="6">
        <v>-16307</v>
      </c>
      <c r="L9" s="174">
        <f t="shared" ref="L9:N16" si="2">J9+K9</f>
        <v>-26558</v>
      </c>
      <c r="M9" s="6">
        <v>-17572</v>
      </c>
      <c r="N9" s="174">
        <f t="shared" si="2"/>
        <v>-44130</v>
      </c>
      <c r="O9" s="6">
        <v>-22413</v>
      </c>
      <c r="P9" s="9">
        <f t="shared" ref="P9:P16" si="3">N9+O9</f>
        <v>-66543</v>
      </c>
      <c r="Q9" s="6">
        <v>-18343</v>
      </c>
      <c r="R9" s="6">
        <v>-21987</v>
      </c>
      <c r="S9" s="174">
        <f t="shared" ref="S9:S16" si="4">Q9+R9</f>
        <v>-40330</v>
      </c>
      <c r="T9" s="6">
        <v>-19865</v>
      </c>
      <c r="U9" s="174">
        <f t="shared" ref="U9:U16" si="5">S9+T9</f>
        <v>-60195</v>
      </c>
      <c r="V9" s="6">
        <f t="shared" ref="V9:V15" si="6">W9-U9</f>
        <v>-26153</v>
      </c>
      <c r="W9" s="7">
        <v>-86348</v>
      </c>
      <c r="X9" s="355">
        <f>'Business Unit Information'!AG42</f>
        <v>-23253</v>
      </c>
      <c r="Y9" s="6">
        <v>-22267</v>
      </c>
      <c r="Z9" s="454">
        <f>SUM(X9:Y9)</f>
        <v>-45520</v>
      </c>
    </row>
    <row r="10" spans="1:26" x14ac:dyDescent="0.35">
      <c r="A10" s="35" t="s">
        <v>165</v>
      </c>
      <c r="B10" s="35" t="s">
        <v>68</v>
      </c>
      <c r="C10" s="12">
        <f t="shared" ref="C10:H10" si="7">SUM(C8:C9)</f>
        <v>29140</v>
      </c>
      <c r="D10" s="12">
        <f t="shared" si="7"/>
        <v>30576</v>
      </c>
      <c r="E10" s="208">
        <f t="shared" ref="E10:E16" si="8">C10+D10</f>
        <v>59716</v>
      </c>
      <c r="F10" s="12">
        <f t="shared" si="7"/>
        <v>27851</v>
      </c>
      <c r="G10" s="208">
        <f t="shared" si="0"/>
        <v>87567</v>
      </c>
      <c r="H10" s="12">
        <f t="shared" si="7"/>
        <v>31047</v>
      </c>
      <c r="I10" s="207">
        <f t="shared" si="1"/>
        <v>118614</v>
      </c>
      <c r="J10" s="12">
        <f>SUM(J8:J9)</f>
        <v>34531</v>
      </c>
      <c r="K10" s="12">
        <f t="shared" ref="K10:O10" si="9">SUM(K8:K9)</f>
        <v>41759</v>
      </c>
      <c r="L10" s="208">
        <f t="shared" si="2"/>
        <v>76290</v>
      </c>
      <c r="M10" s="12">
        <f t="shared" si="9"/>
        <v>45388</v>
      </c>
      <c r="N10" s="208">
        <f t="shared" si="2"/>
        <v>121678</v>
      </c>
      <c r="O10" s="12">
        <f t="shared" si="9"/>
        <v>40985</v>
      </c>
      <c r="P10" s="207">
        <f t="shared" si="3"/>
        <v>162663</v>
      </c>
      <c r="Q10" s="12">
        <f>SUM(Q8:Q9)</f>
        <v>44977</v>
      </c>
      <c r="R10" s="12">
        <f>SUM(R8:R9)</f>
        <v>44431</v>
      </c>
      <c r="S10" s="208">
        <f t="shared" si="4"/>
        <v>89408</v>
      </c>
      <c r="T10" s="12">
        <f>SUM(T8:T9)</f>
        <v>42330</v>
      </c>
      <c r="U10" s="208">
        <f t="shared" si="5"/>
        <v>131738</v>
      </c>
      <c r="V10" s="12">
        <f t="shared" si="6"/>
        <v>37587</v>
      </c>
      <c r="W10" s="13">
        <v>169325</v>
      </c>
      <c r="X10" s="349">
        <f>X8+X9</f>
        <v>50935</v>
      </c>
      <c r="Y10" s="12">
        <v>53064</v>
      </c>
      <c r="Z10" s="455">
        <f t="shared" ref="Z10:Z14" si="10">SUM(X10:Y10)</f>
        <v>103999</v>
      </c>
    </row>
    <row r="11" spans="1:26" x14ac:dyDescent="0.35">
      <c r="A11" s="34" t="s">
        <v>215</v>
      </c>
      <c r="B11" s="34" t="s">
        <v>167</v>
      </c>
      <c r="C11" s="8">
        <v>-14637</v>
      </c>
      <c r="D11" s="8">
        <v>-14710</v>
      </c>
      <c r="E11" s="174">
        <f t="shared" si="8"/>
        <v>-29347</v>
      </c>
      <c r="F11" s="8">
        <v>-13794</v>
      </c>
      <c r="G11" s="174">
        <f t="shared" si="0"/>
        <v>-43141</v>
      </c>
      <c r="H11" s="8">
        <v>-15688</v>
      </c>
      <c r="I11" s="9">
        <f t="shared" si="1"/>
        <v>-58829</v>
      </c>
      <c r="J11" s="8">
        <v>-17142</v>
      </c>
      <c r="K11" s="8">
        <v>-18657</v>
      </c>
      <c r="L11" s="174">
        <f t="shared" si="2"/>
        <v>-35799</v>
      </c>
      <c r="M11" s="8">
        <v>-19311</v>
      </c>
      <c r="N11" s="174">
        <f t="shared" si="2"/>
        <v>-55110</v>
      </c>
      <c r="O11" s="8">
        <v>-24531</v>
      </c>
      <c r="P11" s="9">
        <f t="shared" si="3"/>
        <v>-79641</v>
      </c>
      <c r="Q11" s="8">
        <v>-19955</v>
      </c>
      <c r="R11" s="8">
        <v>-22271.630503779794</v>
      </c>
      <c r="S11" s="174">
        <f t="shared" si="4"/>
        <v>-42226.630503779794</v>
      </c>
      <c r="T11" s="8">
        <v>-22487.369496220206</v>
      </c>
      <c r="U11" s="174">
        <f t="shared" si="5"/>
        <v>-64714</v>
      </c>
      <c r="V11" s="8">
        <f>W11-U11</f>
        <v>-20223</v>
      </c>
      <c r="W11" s="9">
        <v>-84937</v>
      </c>
      <c r="X11" s="347">
        <f>'Business Unit Information'!AG66</f>
        <v>-22657</v>
      </c>
      <c r="Y11" s="8">
        <v>-24257</v>
      </c>
      <c r="Z11" s="454">
        <f t="shared" si="10"/>
        <v>-46914</v>
      </c>
    </row>
    <row r="12" spans="1:26" x14ac:dyDescent="0.35">
      <c r="A12" s="34" t="s">
        <v>656</v>
      </c>
      <c r="B12" s="34" t="s">
        <v>169</v>
      </c>
      <c r="C12" s="8">
        <v>-2563</v>
      </c>
      <c r="D12" s="8">
        <v>-2620</v>
      </c>
      <c r="E12" s="174">
        <f t="shared" si="8"/>
        <v>-5183</v>
      </c>
      <c r="F12" s="8">
        <v>-2493</v>
      </c>
      <c r="G12" s="174">
        <f t="shared" si="0"/>
        <v>-7676</v>
      </c>
      <c r="H12" s="8">
        <v>-2206</v>
      </c>
      <c r="I12" s="9">
        <f t="shared" si="1"/>
        <v>-9882</v>
      </c>
      <c r="J12" s="8">
        <v>-2593</v>
      </c>
      <c r="K12" s="8">
        <v>-3316</v>
      </c>
      <c r="L12" s="174">
        <f t="shared" si="2"/>
        <v>-5909</v>
      </c>
      <c r="M12" s="8">
        <v>-3516</v>
      </c>
      <c r="N12" s="174">
        <f t="shared" si="2"/>
        <v>-9425</v>
      </c>
      <c r="O12" s="8">
        <v>-3941</v>
      </c>
      <c r="P12" s="9">
        <f t="shared" si="3"/>
        <v>-13366</v>
      </c>
      <c r="Q12" s="8">
        <v>-5164</v>
      </c>
      <c r="R12" s="8">
        <v>-5132</v>
      </c>
      <c r="S12" s="174">
        <f t="shared" si="4"/>
        <v>-10296</v>
      </c>
      <c r="T12" s="8">
        <v>-5388</v>
      </c>
      <c r="U12" s="174">
        <f t="shared" si="5"/>
        <v>-15684</v>
      </c>
      <c r="V12" s="8">
        <f t="shared" si="6"/>
        <v>-5509</v>
      </c>
      <c r="W12" s="9">
        <v>-21193</v>
      </c>
      <c r="X12" s="347">
        <f>'Business Unit Information'!AG78</f>
        <v>-6222</v>
      </c>
      <c r="Y12" s="8">
        <v>-6281</v>
      </c>
      <c r="Z12" s="454">
        <f t="shared" si="10"/>
        <v>-12503</v>
      </c>
    </row>
    <row r="13" spans="1:26" x14ac:dyDescent="0.35">
      <c r="A13" s="34" t="s">
        <v>217</v>
      </c>
      <c r="B13" s="34" t="s">
        <v>171</v>
      </c>
      <c r="C13" s="8">
        <v>-3634</v>
      </c>
      <c r="D13" s="8">
        <v>-4129</v>
      </c>
      <c r="E13" s="174">
        <f t="shared" si="8"/>
        <v>-7763</v>
      </c>
      <c r="F13" s="8">
        <v>-3842</v>
      </c>
      <c r="G13" s="174">
        <f t="shared" si="0"/>
        <v>-11605</v>
      </c>
      <c r="H13" s="8">
        <v>-2953</v>
      </c>
      <c r="I13" s="9">
        <f t="shared" si="1"/>
        <v>-14558</v>
      </c>
      <c r="J13" s="8">
        <v>-4364</v>
      </c>
      <c r="K13" s="8">
        <v>-5262</v>
      </c>
      <c r="L13" s="174">
        <f t="shared" si="2"/>
        <v>-9626</v>
      </c>
      <c r="M13" s="8">
        <v>-4928</v>
      </c>
      <c r="N13" s="174">
        <f t="shared" si="2"/>
        <v>-14554</v>
      </c>
      <c r="O13" s="8">
        <v>-4430</v>
      </c>
      <c r="P13" s="9">
        <f t="shared" si="3"/>
        <v>-18984</v>
      </c>
      <c r="Q13" s="8">
        <v>-4026</v>
      </c>
      <c r="R13" s="8">
        <v>-5008</v>
      </c>
      <c r="S13" s="174">
        <f t="shared" si="4"/>
        <v>-9034</v>
      </c>
      <c r="T13" s="8">
        <v>-4144</v>
      </c>
      <c r="U13" s="174">
        <f t="shared" si="5"/>
        <v>-13178</v>
      </c>
      <c r="V13" s="8">
        <f>W13-U13</f>
        <v>-3231</v>
      </c>
      <c r="W13" s="9">
        <v>-16409</v>
      </c>
      <c r="X13" s="347">
        <f>'Business Unit Information'!AG54</f>
        <v>-3138</v>
      </c>
      <c r="Y13" s="8">
        <v>-3311</v>
      </c>
      <c r="Z13" s="454">
        <f t="shared" si="10"/>
        <v>-6449</v>
      </c>
    </row>
    <row r="14" spans="1:26" x14ac:dyDescent="0.35">
      <c r="A14" s="102" t="s">
        <v>218</v>
      </c>
      <c r="B14" s="102" t="s">
        <v>218</v>
      </c>
      <c r="C14" s="8">
        <v>-1099</v>
      </c>
      <c r="D14" s="8">
        <v>-958</v>
      </c>
      <c r="E14" s="174">
        <f t="shared" si="8"/>
        <v>-2057</v>
      </c>
      <c r="F14" s="8">
        <v>-859</v>
      </c>
      <c r="G14" s="174">
        <f t="shared" si="0"/>
        <v>-2916</v>
      </c>
      <c r="H14" s="8">
        <v>-672</v>
      </c>
      <c r="I14" s="9">
        <f t="shared" si="1"/>
        <v>-3588</v>
      </c>
      <c r="J14" s="8">
        <v>-1179</v>
      </c>
      <c r="K14" s="8">
        <v>-1087</v>
      </c>
      <c r="L14" s="174">
        <f t="shared" si="2"/>
        <v>-2266</v>
      </c>
      <c r="M14" s="8">
        <v>-1154</v>
      </c>
      <c r="N14" s="174">
        <f t="shared" si="2"/>
        <v>-3420</v>
      </c>
      <c r="O14" s="8">
        <v>-1363</v>
      </c>
      <c r="P14" s="9">
        <f t="shared" si="3"/>
        <v>-4783</v>
      </c>
      <c r="Q14" s="8">
        <v>-1097</v>
      </c>
      <c r="R14" s="8">
        <v>-1807</v>
      </c>
      <c r="S14" s="174">
        <f t="shared" si="4"/>
        <v>-2904</v>
      </c>
      <c r="T14" s="8">
        <v>-2400</v>
      </c>
      <c r="U14" s="174">
        <f t="shared" si="5"/>
        <v>-5304</v>
      </c>
      <c r="V14" s="8">
        <f t="shared" si="6"/>
        <v>-2062</v>
      </c>
      <c r="W14" s="9">
        <v>-7366</v>
      </c>
      <c r="X14" s="347">
        <v>-2230</v>
      </c>
      <c r="Y14" s="8">
        <v>-1035</v>
      </c>
      <c r="Z14" s="454">
        <f t="shared" si="10"/>
        <v>-3265</v>
      </c>
    </row>
    <row r="15" spans="1:26" x14ac:dyDescent="0.35">
      <c r="A15" s="34" t="s">
        <v>657</v>
      </c>
      <c r="B15" s="34" t="s">
        <v>658</v>
      </c>
      <c r="C15" s="8">
        <v>0</v>
      </c>
      <c r="D15" s="8">
        <v>0</v>
      </c>
      <c r="E15" s="174">
        <f t="shared" si="8"/>
        <v>0</v>
      </c>
      <c r="F15" s="8">
        <v>0</v>
      </c>
      <c r="G15" s="174">
        <f t="shared" si="0"/>
        <v>0</v>
      </c>
      <c r="H15" s="8">
        <v>0</v>
      </c>
      <c r="I15" s="9">
        <f t="shared" si="1"/>
        <v>0</v>
      </c>
      <c r="J15" s="8">
        <v>7</v>
      </c>
      <c r="K15" s="8">
        <v>0</v>
      </c>
      <c r="L15" s="174">
        <f t="shared" si="2"/>
        <v>7</v>
      </c>
      <c r="M15" s="8">
        <v>0</v>
      </c>
      <c r="N15" s="174">
        <f t="shared" si="2"/>
        <v>7</v>
      </c>
      <c r="O15" s="8">
        <v>0</v>
      </c>
      <c r="P15" s="9">
        <f t="shared" si="3"/>
        <v>7</v>
      </c>
      <c r="Q15" s="8">
        <v>8</v>
      </c>
      <c r="R15" s="8">
        <v>0</v>
      </c>
      <c r="S15" s="174">
        <f t="shared" si="4"/>
        <v>8</v>
      </c>
      <c r="T15" s="8">
        <v>0</v>
      </c>
      <c r="U15" s="174">
        <f t="shared" si="5"/>
        <v>8</v>
      </c>
      <c r="V15" s="8">
        <f t="shared" si="6"/>
        <v>0</v>
      </c>
      <c r="W15" s="9">
        <v>8</v>
      </c>
      <c r="X15" s="347">
        <v>118</v>
      </c>
      <c r="Y15" s="8">
        <v>0</v>
      </c>
      <c r="Z15" s="176">
        <f t="shared" ref="Z15:Z16" si="11">SUM(X15:Y15)</f>
        <v>118</v>
      </c>
    </row>
    <row r="16" spans="1:26" x14ac:dyDescent="0.35">
      <c r="A16" s="35" t="s">
        <v>71</v>
      </c>
      <c r="B16" s="35" t="s">
        <v>72</v>
      </c>
      <c r="C16" s="12">
        <f t="shared" ref="C16:H16" si="12">SUM(C10:C15)</f>
        <v>7207</v>
      </c>
      <c r="D16" s="12">
        <f t="shared" si="12"/>
        <v>8159</v>
      </c>
      <c r="E16" s="208">
        <f t="shared" si="8"/>
        <v>15366</v>
      </c>
      <c r="F16" s="12">
        <f t="shared" si="12"/>
        <v>6863</v>
      </c>
      <c r="G16" s="208">
        <f t="shared" si="0"/>
        <v>22229</v>
      </c>
      <c r="H16" s="12">
        <f t="shared" si="12"/>
        <v>9528</v>
      </c>
      <c r="I16" s="207">
        <f t="shared" si="1"/>
        <v>31757</v>
      </c>
      <c r="J16" s="12">
        <f>SUM(J10:J15)</f>
        <v>9260</v>
      </c>
      <c r="K16" s="12">
        <f t="shared" ref="K16:O16" si="13">SUM(K10:K15)</f>
        <v>13437</v>
      </c>
      <c r="L16" s="208">
        <f t="shared" si="2"/>
        <v>22697</v>
      </c>
      <c r="M16" s="12">
        <f t="shared" si="13"/>
        <v>16479</v>
      </c>
      <c r="N16" s="208">
        <f t="shared" si="2"/>
        <v>39176</v>
      </c>
      <c r="O16" s="12">
        <f t="shared" si="13"/>
        <v>6720</v>
      </c>
      <c r="P16" s="207">
        <f t="shared" si="3"/>
        <v>45896</v>
      </c>
      <c r="Q16" s="12">
        <f>SUM(Q10:Q15)</f>
        <v>14743</v>
      </c>
      <c r="R16" s="12">
        <f>SUM(R10:R15)</f>
        <v>10212.369496220206</v>
      </c>
      <c r="S16" s="208">
        <f t="shared" si="4"/>
        <v>24955.369496220206</v>
      </c>
      <c r="T16" s="12">
        <v>7910.6305037797938</v>
      </c>
      <c r="U16" s="208">
        <f t="shared" si="5"/>
        <v>32866</v>
      </c>
      <c r="V16" s="12">
        <f>W16-U16</f>
        <v>6562</v>
      </c>
      <c r="W16" s="13">
        <v>39428</v>
      </c>
      <c r="X16" s="349">
        <f>SUM(X10:X15)</f>
        <v>16806</v>
      </c>
      <c r="Y16" s="12">
        <f>SUM(Y10:Y15)</f>
        <v>18180</v>
      </c>
      <c r="Z16" s="456">
        <f t="shared" si="11"/>
        <v>34986</v>
      </c>
    </row>
    <row r="17" spans="1:26" x14ac:dyDescent="0.35">
      <c r="Z17" s="457"/>
    </row>
    <row r="18" spans="1:26" ht="15" thickBot="1" x14ac:dyDescent="0.4">
      <c r="A18" s="21" t="s">
        <v>212</v>
      </c>
      <c r="B18" s="21" t="s">
        <v>213</v>
      </c>
      <c r="C18" s="22"/>
      <c r="D18" s="22"/>
      <c r="E18" s="22"/>
      <c r="F18" s="22"/>
      <c r="G18" s="22"/>
      <c r="H18" s="23"/>
      <c r="I18" s="22"/>
      <c r="J18" s="22"/>
      <c r="K18" s="22"/>
      <c r="L18" s="22"/>
      <c r="M18" s="22"/>
      <c r="N18" s="22"/>
      <c r="O18" s="22"/>
      <c r="P18" s="22"/>
      <c r="Q18" s="22"/>
      <c r="R18" s="22"/>
      <c r="S18" s="22"/>
      <c r="T18" s="22"/>
      <c r="U18" s="22"/>
      <c r="V18" s="22"/>
      <c r="W18" s="22"/>
      <c r="X18" s="22"/>
      <c r="Y18" s="22"/>
      <c r="Z18" s="22"/>
    </row>
    <row r="19" spans="1:26" x14ac:dyDescent="0.35">
      <c r="A19" s="102" t="s">
        <v>165</v>
      </c>
      <c r="B19" s="102" t="s">
        <v>677</v>
      </c>
      <c r="C19" s="24">
        <f t="shared" ref="C19:U19" si="14">C10/C$8</f>
        <v>0.76815605641228413</v>
      </c>
      <c r="D19" s="24">
        <f t="shared" si="14"/>
        <v>0.72280270436385985</v>
      </c>
      <c r="E19" s="177">
        <f t="shared" si="14"/>
        <v>0.74424517367299381</v>
      </c>
      <c r="F19" s="24">
        <f t="shared" si="14"/>
        <v>0.69298332918636474</v>
      </c>
      <c r="G19" s="177">
        <f t="shared" si="14"/>
        <v>0.72713760203276678</v>
      </c>
      <c r="H19" s="24">
        <f t="shared" si="14"/>
        <v>0.69431523392074423</v>
      </c>
      <c r="I19" s="25">
        <f t="shared" si="14"/>
        <v>0.71825024372816282</v>
      </c>
      <c r="J19" s="24">
        <f t="shared" si="14"/>
        <v>0.77109106337367694</v>
      </c>
      <c r="K19" s="24">
        <f t="shared" si="14"/>
        <v>0.71916439913202224</v>
      </c>
      <c r="L19" s="177">
        <f t="shared" si="14"/>
        <v>0.74177426882389541</v>
      </c>
      <c r="M19" s="24">
        <f t="shared" si="14"/>
        <v>0.72090216010165187</v>
      </c>
      <c r="N19" s="177">
        <f t="shared" si="14"/>
        <v>0.7338487889607257</v>
      </c>
      <c r="O19" s="24">
        <f t="shared" si="14"/>
        <v>0.64647149752358124</v>
      </c>
      <c r="P19" s="25">
        <f t="shared" si="14"/>
        <v>0.70968037485929691</v>
      </c>
      <c r="Q19" s="24">
        <f t="shared" si="14"/>
        <v>0.71031269740998104</v>
      </c>
      <c r="R19" s="24">
        <f t="shared" si="14"/>
        <v>0.66896022162666746</v>
      </c>
      <c r="S19" s="177">
        <f t="shared" si="14"/>
        <v>0.68914273381738578</v>
      </c>
      <c r="T19" s="24">
        <f t="shared" si="14"/>
        <v>0.68060133451242066</v>
      </c>
      <c r="U19" s="177">
        <f t="shared" si="14"/>
        <v>0.68637493291929996</v>
      </c>
      <c r="V19" s="24">
        <f t="shared" ref="V19:X19" si="15">V10/V$8</f>
        <v>0.5896925007844368</v>
      </c>
      <c r="W19" s="25">
        <f t="shared" si="15"/>
        <v>0.66227172990499583</v>
      </c>
      <c r="X19" s="83">
        <f t="shared" si="15"/>
        <v>0.68656656062975141</v>
      </c>
      <c r="Y19" s="24">
        <f>Y10/Y$8</f>
        <v>0.70441119857694712</v>
      </c>
      <c r="Z19" s="177">
        <f>Z10/Z$8</f>
        <v>0.6955570863903584</v>
      </c>
    </row>
    <row r="20" spans="1:26" x14ac:dyDescent="0.35">
      <c r="A20" s="102" t="s">
        <v>215</v>
      </c>
      <c r="B20" s="95" t="s">
        <v>167</v>
      </c>
      <c r="C20" s="24">
        <f t="shared" ref="C20:D23" si="16">C11/C$8*-1</f>
        <v>0.38584420719652035</v>
      </c>
      <c r="D20" s="24">
        <f t="shared" si="16"/>
        <v>0.3477376956172285</v>
      </c>
      <c r="E20" s="177">
        <f t="shared" ref="E20:G20" si="17">E11/E$8*-1</f>
        <v>0.36575395391153709</v>
      </c>
      <c r="F20" s="24">
        <f>F11/F$8*-1</f>
        <v>0.34321970639462551</v>
      </c>
      <c r="G20" s="177">
        <f t="shared" si="17"/>
        <v>0.3582336187067684</v>
      </c>
      <c r="H20" s="24">
        <f>H11/H$8*-1</f>
        <v>0.3508363896591824</v>
      </c>
      <c r="I20" s="25">
        <f t="shared" ref="I20:L23" si="18">I11/I$8*-1</f>
        <v>0.35623066070012049</v>
      </c>
      <c r="J20" s="24">
        <f t="shared" si="18"/>
        <v>0.38278772721182619</v>
      </c>
      <c r="K20" s="24">
        <f t="shared" si="18"/>
        <v>0.32130678882650776</v>
      </c>
      <c r="L20" s="177">
        <f t="shared" si="18"/>
        <v>0.34807677349097699</v>
      </c>
      <c r="M20" s="24">
        <f>M11/M$8*-1</f>
        <v>0.30671855146124521</v>
      </c>
      <c r="N20" s="177">
        <f t="shared" ref="N20" si="19">N11/N$8*-1</f>
        <v>0.33237238251471579</v>
      </c>
      <c r="O20" s="24">
        <f>O11/O$8*-1</f>
        <v>0.38693649641944539</v>
      </c>
      <c r="P20" s="25">
        <f t="shared" ref="P20:S23" si="20">P11/P$8*-1</f>
        <v>0.34746472605429179</v>
      </c>
      <c r="Q20" s="24">
        <f t="shared" si="20"/>
        <v>0.31514529374605182</v>
      </c>
      <c r="R20" s="24">
        <f t="shared" si="20"/>
        <v>0.33532522062964548</v>
      </c>
      <c r="S20" s="177">
        <f t="shared" si="20"/>
        <v>0.32547619435924552</v>
      </c>
      <c r="T20" s="24">
        <f>T11/T$8*-1</f>
        <v>0.36156233613988592</v>
      </c>
      <c r="U20" s="177">
        <f t="shared" ref="U20" si="21">U11/U$8*-1</f>
        <v>0.33716974152438611</v>
      </c>
      <c r="V20" s="24">
        <f t="shared" ref="V20:X23" si="22">V11/V$8*-1</f>
        <v>0.31727329777219954</v>
      </c>
      <c r="W20" s="25">
        <f t="shared" si="22"/>
        <v>0.3322095019810461</v>
      </c>
      <c r="X20" s="83">
        <f t="shared" si="22"/>
        <v>0.30539979511511295</v>
      </c>
      <c r="Y20" s="24">
        <f t="shared" ref="Y20:Y23" si="23">Y11/Y$8*-1</f>
        <v>0.32200554884443322</v>
      </c>
      <c r="Z20" s="177">
        <f>Z11/Z$8*-1</f>
        <v>0.31376614343327602</v>
      </c>
    </row>
    <row r="21" spans="1:26" x14ac:dyDescent="0.35">
      <c r="A21" s="102" t="s">
        <v>216</v>
      </c>
      <c r="B21" s="95" t="s">
        <v>169</v>
      </c>
      <c r="C21" s="24">
        <f t="shared" si="16"/>
        <v>6.7562936602082513E-2</v>
      </c>
      <c r="D21" s="24">
        <f t="shared" si="16"/>
        <v>6.1935605881518606E-2</v>
      </c>
      <c r="E21" s="177">
        <f>E12/E$8*-1</f>
        <v>6.4596133953163756E-2</v>
      </c>
      <c r="F21" s="24">
        <f>F12/F$8*-1</f>
        <v>6.2030355809902959E-2</v>
      </c>
      <c r="G21" s="177">
        <f>G12/G$8*-1</f>
        <v>6.3739859001718885E-2</v>
      </c>
      <c r="H21" s="24">
        <f>H12/H$8*-1</f>
        <v>4.9333571875838624E-2</v>
      </c>
      <c r="I21" s="25">
        <f t="shared" si="18"/>
        <v>5.9839048582137906E-2</v>
      </c>
      <c r="J21" s="24">
        <f t="shared" si="18"/>
        <v>5.7902728774954219E-2</v>
      </c>
      <c r="K21" s="24">
        <f t="shared" si="18"/>
        <v>5.7107429476802259E-2</v>
      </c>
      <c r="L21" s="177">
        <f>L12/L$8*-1</f>
        <v>5.7453718108276292E-2</v>
      </c>
      <c r="M21" s="24">
        <f>M12/M$8*-1</f>
        <v>5.5844980940279544E-2</v>
      </c>
      <c r="N21" s="177">
        <f>N12/N$8*-1</f>
        <v>5.6842854385795616E-2</v>
      </c>
      <c r="O21" s="24">
        <f>O12/O$8*-1</f>
        <v>6.2162844253761951E-2</v>
      </c>
      <c r="P21" s="25">
        <f t="shared" si="20"/>
        <v>5.8314354772562672E-2</v>
      </c>
      <c r="Q21" s="24">
        <f t="shared" si="20"/>
        <v>8.1554011370814902E-2</v>
      </c>
      <c r="R21" s="24">
        <f t="shared" si="20"/>
        <v>7.7268210424884826E-2</v>
      </c>
      <c r="S21" s="177">
        <f>S12/S$8*-1</f>
        <v>7.935994080377376E-2</v>
      </c>
      <c r="T21" s="24">
        <f>T12/T$8*-1</f>
        <v>8.6630758099525682E-2</v>
      </c>
      <c r="U21" s="177">
        <f>U12/U$8*-1</f>
        <v>8.1716015484570137E-2</v>
      </c>
      <c r="V21" s="24">
        <f t="shared" si="22"/>
        <v>8.6429243802949487E-2</v>
      </c>
      <c r="W21" s="25">
        <f t="shared" si="22"/>
        <v>8.2891036597528875E-2</v>
      </c>
      <c r="X21" s="83">
        <f t="shared" si="22"/>
        <v>8.3868010999083406E-2</v>
      </c>
      <c r="Y21" s="24">
        <f t="shared" si="23"/>
        <v>8.3378688720447097E-2</v>
      </c>
      <c r="Z21" s="177">
        <f>Z12/Z$8*-1</f>
        <v>8.3621479544405727E-2</v>
      </c>
    </row>
    <row r="22" spans="1:26" x14ac:dyDescent="0.35">
      <c r="A22" s="102" t="s">
        <v>217</v>
      </c>
      <c r="B22" s="95" t="s">
        <v>171</v>
      </c>
      <c r="C22" s="24">
        <f t="shared" si="16"/>
        <v>9.5795439567681565E-2</v>
      </c>
      <c r="D22" s="24">
        <f t="shared" si="16"/>
        <v>9.7607678123965771E-2</v>
      </c>
      <c r="E22" s="177">
        <f t="shared" ref="E22:G22" si="24">E13/E$8*-1</f>
        <v>9.6750875531238706E-2</v>
      </c>
      <c r="F22" s="24">
        <f>F13/F$8*-1</f>
        <v>9.5595919382931077E-2</v>
      </c>
      <c r="G22" s="177">
        <f t="shared" si="24"/>
        <v>9.636543300090511E-2</v>
      </c>
      <c r="H22" s="24">
        <f>H13/H$8*-1</f>
        <v>6.6039001699615352E-2</v>
      </c>
      <c r="I22" s="25">
        <f t="shared" si="18"/>
        <v>8.8153902981052787E-2</v>
      </c>
      <c r="J22" s="24">
        <f t="shared" si="18"/>
        <v>9.7449868250636423E-2</v>
      </c>
      <c r="K22" s="24">
        <f t="shared" si="18"/>
        <v>9.062101746288706E-2</v>
      </c>
      <c r="L22" s="177">
        <f t="shared" si="18"/>
        <v>9.3594430616054755E-2</v>
      </c>
      <c r="M22" s="24">
        <f>M13/M$8*-1</f>
        <v>7.8271918678526051E-2</v>
      </c>
      <c r="N22" s="177">
        <f t="shared" ref="N22" si="25">N13/N$8*-1</f>
        <v>8.7776223101418513E-2</v>
      </c>
      <c r="O22" s="24">
        <f>O13/O$8*-1</f>
        <v>6.9876021325593868E-2</v>
      </c>
      <c r="P22" s="25">
        <f t="shared" si="20"/>
        <v>8.2825056935682317E-2</v>
      </c>
      <c r="Q22" s="24">
        <f t="shared" si="20"/>
        <v>6.3581806696146562E-2</v>
      </c>
      <c r="R22" s="24">
        <f t="shared" si="20"/>
        <v>7.5401246650004514E-2</v>
      </c>
      <c r="S22" s="177">
        <f t="shared" si="20"/>
        <v>6.9632644252262246E-2</v>
      </c>
      <c r="T22" s="24">
        <f>T13/T$8*-1</f>
        <v>6.6629150253235792E-2</v>
      </c>
      <c r="U22" s="177">
        <f t="shared" ref="U22" si="26">U13/U$8*-1</f>
        <v>6.8659375928058222E-2</v>
      </c>
      <c r="V22" s="24">
        <f t="shared" si="22"/>
        <v>5.0690304361468465E-2</v>
      </c>
      <c r="W22" s="25">
        <f t="shared" si="22"/>
        <v>6.4179635706547028E-2</v>
      </c>
      <c r="X22" s="83">
        <f t="shared" si="22"/>
        <v>4.2297945759422008E-2</v>
      </c>
      <c r="Y22" s="24">
        <f t="shared" si="23"/>
        <v>4.3952688800095577E-2</v>
      </c>
      <c r="Z22" s="177">
        <f>Z13/Z$8*-1</f>
        <v>4.3131642132438017E-2</v>
      </c>
    </row>
    <row r="23" spans="1:26" x14ac:dyDescent="0.35">
      <c r="A23" s="102" t="s">
        <v>218</v>
      </c>
      <c r="B23" s="102" t="s">
        <v>218</v>
      </c>
      <c r="C23" s="24">
        <f t="shared" si="16"/>
        <v>2.8970607618294453E-2</v>
      </c>
      <c r="D23" s="24">
        <f t="shared" si="16"/>
        <v>2.264668337194459E-2</v>
      </c>
      <c r="E23" s="177">
        <f t="shared" ref="E23:G23" si="27">E14/E$8*-1</f>
        <v>2.5636551715542705E-2</v>
      </c>
      <c r="F23" s="24">
        <f>F14/F$8*-1</f>
        <v>2.1373475989052003E-2</v>
      </c>
      <c r="G23" s="177">
        <f t="shared" si="27"/>
        <v>2.4213839089240786E-2</v>
      </c>
      <c r="H23" s="24">
        <f>H14/H$8*-1</f>
        <v>1.5028177833437696E-2</v>
      </c>
      <c r="I23" s="25">
        <f t="shared" si="18"/>
        <v>2.1726624803957782E-2</v>
      </c>
      <c r="J23" s="24">
        <f t="shared" si="18"/>
        <v>2.6327542316109152E-2</v>
      </c>
      <c r="K23" s="24">
        <f t="shared" si="18"/>
        <v>1.8720077153583852E-2</v>
      </c>
      <c r="L23" s="177">
        <f t="shared" si="18"/>
        <v>2.2032514001244556E-2</v>
      </c>
      <c r="M23" s="24">
        <f>M14/M$8*-1</f>
        <v>1.8329097839898348E-2</v>
      </c>
      <c r="N23" s="177">
        <f t="shared" ref="N23" si="28">N14/N$8*-1</f>
        <v>2.0626266525137507E-2</v>
      </c>
      <c r="O23" s="24">
        <f>O14/O$8*-1</f>
        <v>2.1499100918010033E-2</v>
      </c>
      <c r="P23" s="25">
        <f t="shared" si="20"/>
        <v>2.0867691072659528E-2</v>
      </c>
      <c r="Q23" s="24">
        <f t="shared" si="20"/>
        <v>1.7324699936828804E-2</v>
      </c>
      <c r="R23" s="24">
        <f t="shared" si="20"/>
        <v>2.720648017103797E-2</v>
      </c>
      <c r="S23" s="177">
        <f t="shared" si="20"/>
        <v>2.238357304721824E-2</v>
      </c>
      <c r="T23" s="24">
        <f>T14/T$8*-1</f>
        <v>3.8588310957472463E-2</v>
      </c>
      <c r="U23" s="177">
        <f t="shared" ref="U23" si="29">U14/U$8*-1</f>
        <v>2.7634643339081867E-2</v>
      </c>
      <c r="V23" s="24">
        <f t="shared" si="22"/>
        <v>3.2350172576090366E-2</v>
      </c>
      <c r="W23" s="25">
        <f t="shared" si="22"/>
        <v>2.8810238077544362E-2</v>
      </c>
      <c r="X23" s="83">
        <f t="shared" si="22"/>
        <v>3.0058769612336226E-2</v>
      </c>
      <c r="Y23" s="24">
        <f t="shared" si="23"/>
        <v>1.3739363608607346E-2</v>
      </c>
      <c r="Z23" s="177">
        <f>Z14/Z$8*-1</f>
        <v>2.1836689651482419E-2</v>
      </c>
    </row>
    <row r="24" spans="1:26" x14ac:dyDescent="0.35">
      <c r="A24" s="102" t="s">
        <v>659</v>
      </c>
      <c r="B24" s="102" t="s">
        <v>660</v>
      </c>
      <c r="C24" s="24">
        <f t="shared" ref="C24:U24" si="30">C16/C$8</f>
        <v>0.18998286542770529</v>
      </c>
      <c r="D24" s="24">
        <f t="shared" si="30"/>
        <v>0.19287504136920239</v>
      </c>
      <c r="E24" s="177">
        <f t="shared" si="30"/>
        <v>0.19150765856151153</v>
      </c>
      <c r="F24" s="24">
        <f t="shared" si="30"/>
        <v>0.17076387160985321</v>
      </c>
      <c r="G24" s="177">
        <f t="shared" si="30"/>
        <v>0.18458485223413354</v>
      </c>
      <c r="H24" s="24">
        <f t="shared" si="30"/>
        <v>0.21307809285267018</v>
      </c>
      <c r="I24" s="25">
        <f t="shared" si="30"/>
        <v>0.19230000666089389</v>
      </c>
      <c r="J24" s="24">
        <f t="shared" si="30"/>
        <v>0.20677950962440267</v>
      </c>
      <c r="K24" s="24">
        <f t="shared" si="30"/>
        <v>0.23140908621224124</v>
      </c>
      <c r="L24" s="177">
        <f t="shared" si="30"/>
        <v>0.22068489421281892</v>
      </c>
      <c r="M24" s="24">
        <f t="shared" si="30"/>
        <v>0.26173761118170269</v>
      </c>
      <c r="N24" s="177">
        <f t="shared" si="30"/>
        <v>0.23627327993824182</v>
      </c>
      <c r="O24" s="24">
        <f t="shared" si="30"/>
        <v>0.10599703460676993</v>
      </c>
      <c r="P24" s="25">
        <f t="shared" si="30"/>
        <v>0.20023908623683498</v>
      </c>
      <c r="Q24" s="24">
        <f t="shared" si="30"/>
        <v>0.2328332280480101</v>
      </c>
      <c r="R24" s="24">
        <f t="shared" si="30"/>
        <v>0.15375906375109469</v>
      </c>
      <c r="S24" s="177">
        <f t="shared" si="30"/>
        <v>0.19235204409055331</v>
      </c>
      <c r="T24" s="24">
        <f t="shared" si="30"/>
        <v>0.12719077906230072</v>
      </c>
      <c r="U24" s="177">
        <f t="shared" si="30"/>
        <v>0.17123683785487645</v>
      </c>
      <c r="V24" s="24">
        <f t="shared" ref="V24:X24" si="31">V16/V$8</f>
        <v>0.1029494822717289</v>
      </c>
      <c r="W24" s="25">
        <f t="shared" si="31"/>
        <v>0.15421260751037458</v>
      </c>
      <c r="X24" s="83">
        <f t="shared" si="31"/>
        <v>0.22653259287216262</v>
      </c>
      <c r="Y24" s="24">
        <f>Y16/Y$8</f>
        <v>0.24133490860336382</v>
      </c>
      <c r="Z24" s="177">
        <f>Z16/Z$8</f>
        <v>0.23399032898828911</v>
      </c>
    </row>
    <row r="25" spans="1:26" x14ac:dyDescent="0.35">
      <c r="R25" s="83"/>
      <c r="Y25" s="83"/>
    </row>
    <row r="26" spans="1:26" s="160" customFormat="1" x14ac:dyDescent="0.35">
      <c r="A26" s="314" t="s">
        <v>661</v>
      </c>
      <c r="B26" s="314" t="s">
        <v>662</v>
      </c>
    </row>
    <row r="27" spans="1:26" s="160" customFormat="1" x14ac:dyDescent="0.35">
      <c r="A27" s="314" t="s">
        <v>663</v>
      </c>
      <c r="B27" s="314" t="s">
        <v>664</v>
      </c>
    </row>
    <row r="28" spans="1:26" s="160" customFormat="1" x14ac:dyDescent="0.35">
      <c r="Y28" s="453"/>
      <c r="Z28" s="453"/>
    </row>
    <row r="29" spans="1:26" ht="15" customHeight="1" thickBot="1" x14ac:dyDescent="0.65">
      <c r="I29" s="189"/>
      <c r="P29" s="189"/>
      <c r="Y29" s="353"/>
      <c r="Z29" s="353"/>
    </row>
    <row r="30" spans="1:26" ht="15" thickBot="1" x14ac:dyDescent="0.4">
      <c r="A30" s="282" t="s">
        <v>675</v>
      </c>
      <c r="B30" s="282" t="s">
        <v>675</v>
      </c>
      <c r="C30" s="101" t="s">
        <v>49</v>
      </c>
      <c r="D30" s="101" t="s">
        <v>50</v>
      </c>
      <c r="E30" s="101" t="s">
        <v>153</v>
      </c>
      <c r="F30" s="101" t="s">
        <v>51</v>
      </c>
      <c r="G30" s="101" t="s">
        <v>154</v>
      </c>
      <c r="H30" s="101" t="s">
        <v>52</v>
      </c>
      <c r="I30" s="101">
        <v>2021</v>
      </c>
      <c r="J30" s="101" t="s">
        <v>53</v>
      </c>
      <c r="K30" s="101" t="s">
        <v>54</v>
      </c>
      <c r="L30" s="101" t="s">
        <v>155</v>
      </c>
      <c r="M30" s="101" t="s">
        <v>55</v>
      </c>
      <c r="N30" s="101" t="s">
        <v>156</v>
      </c>
      <c r="O30" s="101" t="s">
        <v>56</v>
      </c>
      <c r="P30" s="101">
        <v>2022</v>
      </c>
      <c r="Q30" s="101" t="s">
        <v>57</v>
      </c>
      <c r="R30" s="101" t="s">
        <v>58</v>
      </c>
      <c r="S30" s="101" t="s">
        <v>159</v>
      </c>
      <c r="T30" s="101" t="s">
        <v>59</v>
      </c>
      <c r="U30" s="101" t="s">
        <v>160</v>
      </c>
      <c r="V30" s="101" t="s">
        <v>60</v>
      </c>
      <c r="W30" s="101">
        <v>2023</v>
      </c>
      <c r="X30" s="101" t="s">
        <v>61</v>
      </c>
      <c r="Y30" s="101" t="s">
        <v>1166</v>
      </c>
      <c r="Z30" s="101" t="s">
        <v>1167</v>
      </c>
    </row>
    <row r="31" spans="1:26" ht="15" thickTop="1" x14ac:dyDescent="0.35">
      <c r="A31" s="283" t="s">
        <v>665</v>
      </c>
      <c r="B31" s="284" t="s">
        <v>666</v>
      </c>
      <c r="C31" s="91" t="s">
        <v>62</v>
      </c>
      <c r="D31" s="91" t="s">
        <v>62</v>
      </c>
      <c r="E31" s="91" t="s">
        <v>62</v>
      </c>
      <c r="F31" s="91" t="s">
        <v>62</v>
      </c>
      <c r="G31" s="91" t="s">
        <v>62</v>
      </c>
      <c r="H31" s="91" t="s">
        <v>62</v>
      </c>
      <c r="I31" s="91" t="s">
        <v>62</v>
      </c>
      <c r="J31" s="91" t="s">
        <v>62</v>
      </c>
      <c r="K31" s="91" t="s">
        <v>62</v>
      </c>
      <c r="L31" s="91" t="s">
        <v>62</v>
      </c>
      <c r="M31" s="91" t="s">
        <v>62</v>
      </c>
      <c r="N31" s="91" t="s">
        <v>62</v>
      </c>
      <c r="O31" s="91" t="s">
        <v>62</v>
      </c>
      <c r="P31" s="91" t="s">
        <v>62</v>
      </c>
      <c r="Q31" s="91" t="s">
        <v>62</v>
      </c>
      <c r="R31" s="91" t="s">
        <v>62</v>
      </c>
      <c r="S31" s="91" t="s">
        <v>62</v>
      </c>
      <c r="T31" s="91" t="s">
        <v>62</v>
      </c>
      <c r="U31" s="91" t="s">
        <v>62</v>
      </c>
      <c r="V31" s="91" t="s">
        <v>62</v>
      </c>
      <c r="W31" s="91" t="s">
        <v>62</v>
      </c>
      <c r="X31" s="91" t="s">
        <v>62</v>
      </c>
      <c r="Y31" s="91" t="s">
        <v>62</v>
      </c>
      <c r="Z31" s="91" t="s">
        <v>62</v>
      </c>
    </row>
    <row r="32" spans="1:26" x14ac:dyDescent="0.35">
      <c r="A32" s="34" t="s">
        <v>128</v>
      </c>
      <c r="B32" s="34" t="s">
        <v>129</v>
      </c>
      <c r="C32" s="8">
        <v>15116</v>
      </c>
      <c r="D32" s="8">
        <v>15626</v>
      </c>
      <c r="E32" s="174">
        <f>C32+D32</f>
        <v>30742</v>
      </c>
      <c r="F32" s="8">
        <v>14477</v>
      </c>
      <c r="G32" s="174">
        <f>E32+F32</f>
        <v>45219</v>
      </c>
      <c r="H32" s="8">
        <v>15713</v>
      </c>
      <c r="I32" s="9">
        <f>G32+H32</f>
        <v>60932</v>
      </c>
      <c r="J32" s="8">
        <v>17970</v>
      </c>
      <c r="K32" s="8">
        <v>19946</v>
      </c>
      <c r="L32" s="174">
        <f>J32+K32</f>
        <v>37916</v>
      </c>
      <c r="M32" s="8">
        <v>20284</v>
      </c>
      <c r="N32" s="174">
        <f>L32+M32</f>
        <v>58200</v>
      </c>
      <c r="O32" s="8">
        <v>21762</v>
      </c>
      <c r="P32" s="9">
        <f>N32+O32</f>
        <v>79962</v>
      </c>
      <c r="Q32" s="8">
        <v>22795</v>
      </c>
      <c r="R32" s="8">
        <v>23947</v>
      </c>
      <c r="S32" s="174">
        <f>Q32+R32</f>
        <v>46742</v>
      </c>
      <c r="T32" s="8">
        <v>23125</v>
      </c>
      <c r="U32" s="174">
        <f>S32+T32</f>
        <v>69867</v>
      </c>
      <c r="V32" s="18">
        <f>W32-U32</f>
        <v>25164</v>
      </c>
      <c r="W32" s="19">
        <v>95031</v>
      </c>
      <c r="X32" s="8">
        <v>27051</v>
      </c>
      <c r="Y32" s="8">
        <f>Z32-X32</f>
        <v>26150</v>
      </c>
      <c r="Z32" s="174">
        <v>53201</v>
      </c>
    </row>
    <row r="33" spans="1:26" x14ac:dyDescent="0.35">
      <c r="A33" s="118" t="s">
        <v>678</v>
      </c>
      <c r="B33" s="118" t="s">
        <v>679</v>
      </c>
      <c r="C33" s="8">
        <v>2954</v>
      </c>
      <c r="D33" s="8">
        <f>E33-C33</f>
        <v>3198</v>
      </c>
      <c r="E33" s="174">
        <v>6152</v>
      </c>
      <c r="F33" s="8">
        <f t="shared" ref="F33:F37" si="32">G33-E33</f>
        <v>2665</v>
      </c>
      <c r="G33" s="174">
        <v>8817</v>
      </c>
      <c r="H33" s="8">
        <f t="shared" ref="H33:H37" si="33">I33-G33</f>
        <v>2948</v>
      </c>
      <c r="I33" s="9">
        <v>11765</v>
      </c>
      <c r="J33" s="8">
        <v>3511</v>
      </c>
      <c r="K33" s="8">
        <f t="shared" ref="K33:K37" si="34">L33-J33</f>
        <v>3517</v>
      </c>
      <c r="L33" s="174">
        <v>7028</v>
      </c>
      <c r="M33" s="8">
        <f t="shared" ref="M33:M37" si="35">N33-L33</f>
        <v>3266</v>
      </c>
      <c r="N33" s="174">
        <v>10294</v>
      </c>
      <c r="O33" s="8">
        <f t="shared" ref="O33:O37" si="36">P33-N33</f>
        <v>3996</v>
      </c>
      <c r="P33" s="9">
        <v>14290</v>
      </c>
      <c r="Q33" s="8">
        <v>4448</v>
      </c>
      <c r="R33" s="8">
        <f t="shared" ref="R33:T47" si="37">S33-Q33</f>
        <v>4327</v>
      </c>
      <c r="S33" s="174">
        <v>8775</v>
      </c>
      <c r="T33" s="8">
        <f t="shared" si="37"/>
        <v>3850</v>
      </c>
      <c r="U33" s="174">
        <v>12625</v>
      </c>
      <c r="V33" s="18">
        <f t="shared" ref="V33:V49" si="38">W33-U33</f>
        <v>4592</v>
      </c>
      <c r="W33" s="19">
        <v>17217</v>
      </c>
      <c r="X33" s="8">
        <v>4831</v>
      </c>
      <c r="Y33" s="8">
        <f t="shared" ref="Y33:Y49" si="39">Z33-X33</f>
        <v>4870</v>
      </c>
      <c r="Z33" s="174">
        <v>9701</v>
      </c>
    </row>
    <row r="34" spans="1:26" x14ac:dyDescent="0.35">
      <c r="A34" s="118" t="s">
        <v>680</v>
      </c>
      <c r="B34" s="118" t="s">
        <v>681</v>
      </c>
      <c r="C34" s="8">
        <v>2949</v>
      </c>
      <c r="D34" s="8">
        <f>E34-C34</f>
        <v>2781</v>
      </c>
      <c r="E34" s="174">
        <v>5730</v>
      </c>
      <c r="F34" s="8">
        <f t="shared" si="32"/>
        <v>2993</v>
      </c>
      <c r="G34" s="174">
        <v>8723</v>
      </c>
      <c r="H34" s="8">
        <f t="shared" si="33"/>
        <v>2954</v>
      </c>
      <c r="I34" s="9">
        <v>11677</v>
      </c>
      <c r="J34" s="8">
        <v>3153</v>
      </c>
      <c r="K34" s="8">
        <f t="shared" si="34"/>
        <v>3363</v>
      </c>
      <c r="L34" s="174">
        <v>6516</v>
      </c>
      <c r="M34" s="8">
        <f t="shared" si="35"/>
        <v>3979</v>
      </c>
      <c r="N34" s="174">
        <v>10495</v>
      </c>
      <c r="O34" s="8">
        <f t="shared" si="36"/>
        <v>3919</v>
      </c>
      <c r="P34" s="9">
        <v>14414</v>
      </c>
      <c r="Q34" s="8">
        <v>4086</v>
      </c>
      <c r="R34" s="8">
        <f t="shared" si="37"/>
        <v>3948</v>
      </c>
      <c r="S34" s="174">
        <v>8034</v>
      </c>
      <c r="T34" s="8">
        <f t="shared" si="37"/>
        <v>4165</v>
      </c>
      <c r="U34" s="174">
        <v>12199</v>
      </c>
      <c r="V34" s="18">
        <f t="shared" si="38"/>
        <v>4421</v>
      </c>
      <c r="W34" s="19">
        <v>16620</v>
      </c>
      <c r="X34" s="8">
        <v>4577</v>
      </c>
      <c r="Y34" s="8">
        <f t="shared" si="39"/>
        <v>4740</v>
      </c>
      <c r="Z34" s="174">
        <v>9317</v>
      </c>
    </row>
    <row r="35" spans="1:26" x14ac:dyDescent="0.35">
      <c r="A35" s="118" t="s">
        <v>682</v>
      </c>
      <c r="B35" s="118" t="s">
        <v>683</v>
      </c>
      <c r="C35" s="8">
        <v>1862</v>
      </c>
      <c r="D35" s="8">
        <f t="shared" ref="D35:D36" si="40">E35-C35</f>
        <v>2169</v>
      </c>
      <c r="E35" s="174">
        <v>4031</v>
      </c>
      <c r="F35" s="8">
        <f t="shared" si="32"/>
        <v>2105</v>
      </c>
      <c r="G35" s="174">
        <v>6136</v>
      </c>
      <c r="H35" s="8">
        <f t="shared" si="33"/>
        <v>2415</v>
      </c>
      <c r="I35" s="9">
        <v>8551</v>
      </c>
      <c r="J35" s="8">
        <v>2524</v>
      </c>
      <c r="K35" s="8">
        <f t="shared" si="34"/>
        <v>2844</v>
      </c>
      <c r="L35" s="174">
        <v>5368</v>
      </c>
      <c r="M35" s="8">
        <f t="shared" si="35"/>
        <v>3379</v>
      </c>
      <c r="N35" s="174">
        <v>8747</v>
      </c>
      <c r="O35" s="8">
        <f t="shared" si="36"/>
        <v>3656</v>
      </c>
      <c r="P35" s="9">
        <v>12403</v>
      </c>
      <c r="Q35" s="8">
        <v>2858</v>
      </c>
      <c r="R35" s="8">
        <f>S35-Q35</f>
        <v>3373</v>
      </c>
      <c r="S35" s="174">
        <v>6231</v>
      </c>
      <c r="T35" s="8">
        <f t="shared" si="37"/>
        <v>3329</v>
      </c>
      <c r="U35" s="174">
        <v>9560</v>
      </c>
      <c r="V35" s="18">
        <f t="shared" si="38"/>
        <v>3612</v>
      </c>
      <c r="W35" s="19">
        <v>13172</v>
      </c>
      <c r="X35" s="8">
        <v>3552</v>
      </c>
      <c r="Y35" s="8">
        <f t="shared" si="39"/>
        <v>3859</v>
      </c>
      <c r="Z35" s="174">
        <v>7411</v>
      </c>
    </row>
    <row r="36" spans="1:26" x14ac:dyDescent="0.35">
      <c r="A36" s="118" t="s">
        <v>684</v>
      </c>
      <c r="B36" s="118" t="s">
        <v>685</v>
      </c>
      <c r="C36" s="8">
        <v>1651</v>
      </c>
      <c r="D36" s="8">
        <f t="shared" si="40"/>
        <v>1811</v>
      </c>
      <c r="E36" s="174">
        <v>3462</v>
      </c>
      <c r="F36" s="8">
        <f t="shared" si="32"/>
        <v>1351</v>
      </c>
      <c r="G36" s="174">
        <v>4813</v>
      </c>
      <c r="H36" s="8">
        <f t="shared" si="33"/>
        <v>1366</v>
      </c>
      <c r="I36" s="9">
        <v>6179</v>
      </c>
      <c r="J36" s="8">
        <v>2270</v>
      </c>
      <c r="K36" s="8">
        <f t="shared" si="34"/>
        <v>2431</v>
      </c>
      <c r="L36" s="174">
        <v>4701</v>
      </c>
      <c r="M36" s="8">
        <f t="shared" si="35"/>
        <v>2018</v>
      </c>
      <c r="N36" s="174">
        <v>6719</v>
      </c>
      <c r="O36" s="8">
        <f t="shared" si="36"/>
        <v>2492</v>
      </c>
      <c r="P36" s="9">
        <v>9211</v>
      </c>
      <c r="Q36" s="8">
        <v>2116</v>
      </c>
      <c r="R36" s="8">
        <f t="shared" si="37"/>
        <v>3345</v>
      </c>
      <c r="S36" s="174">
        <v>5461</v>
      </c>
      <c r="T36" s="8">
        <f t="shared" si="37"/>
        <v>3642</v>
      </c>
      <c r="U36" s="174">
        <v>9103</v>
      </c>
      <c r="V36" s="18">
        <f t="shared" si="38"/>
        <v>3675</v>
      </c>
      <c r="W36" s="19">
        <v>12778</v>
      </c>
      <c r="X36" s="8">
        <v>3620</v>
      </c>
      <c r="Y36" s="8">
        <f t="shared" si="39"/>
        <v>3507</v>
      </c>
      <c r="Z36" s="174">
        <v>7127</v>
      </c>
    </row>
    <row r="37" spans="1:26" x14ac:dyDescent="0.35">
      <c r="A37" s="118" t="s">
        <v>686</v>
      </c>
      <c r="B37" s="118" t="s">
        <v>687</v>
      </c>
      <c r="C37" s="8">
        <v>1739</v>
      </c>
      <c r="D37" s="8">
        <f>E37-C37</f>
        <v>2005</v>
      </c>
      <c r="E37" s="174">
        <v>3744</v>
      </c>
      <c r="F37" s="8">
        <f t="shared" si="32"/>
        <v>1698</v>
      </c>
      <c r="G37" s="174">
        <v>5442</v>
      </c>
      <c r="H37" s="8">
        <f t="shared" si="33"/>
        <v>1923</v>
      </c>
      <c r="I37" s="9">
        <v>7365</v>
      </c>
      <c r="J37" s="8">
        <v>2345</v>
      </c>
      <c r="K37" s="8">
        <f t="shared" si="34"/>
        <v>2657</v>
      </c>
      <c r="L37" s="174">
        <v>5002</v>
      </c>
      <c r="M37" s="8">
        <f t="shared" si="35"/>
        <v>2303</v>
      </c>
      <c r="N37" s="174">
        <v>7305</v>
      </c>
      <c r="O37" s="8">
        <f t="shared" si="36"/>
        <v>2850</v>
      </c>
      <c r="P37" s="9">
        <v>10155</v>
      </c>
      <c r="Q37" s="8">
        <v>2967</v>
      </c>
      <c r="R37" s="8">
        <f t="shared" si="37"/>
        <v>2727</v>
      </c>
      <c r="S37" s="174">
        <v>5694</v>
      </c>
      <c r="T37" s="8">
        <f t="shared" si="37"/>
        <v>2457</v>
      </c>
      <c r="U37" s="174">
        <v>8151</v>
      </c>
      <c r="V37" s="18">
        <f t="shared" si="38"/>
        <v>2988</v>
      </c>
      <c r="W37" s="19">
        <v>11139</v>
      </c>
      <c r="X37" s="8">
        <v>3109</v>
      </c>
      <c r="Y37" s="8">
        <f t="shared" si="39"/>
        <v>2471</v>
      </c>
      <c r="Z37" s="174">
        <v>5580</v>
      </c>
    </row>
    <row r="38" spans="1:26" x14ac:dyDescent="0.35">
      <c r="A38" s="34" t="s">
        <v>130</v>
      </c>
      <c r="B38" s="34" t="s">
        <v>131</v>
      </c>
      <c r="C38" s="8">
        <v>6422</v>
      </c>
      <c r="D38" s="8">
        <v>6031</v>
      </c>
      <c r="E38" s="174">
        <f t="shared" ref="E38:E48" si="41">C38+D38</f>
        <v>12453</v>
      </c>
      <c r="F38" s="8">
        <v>6483</v>
      </c>
      <c r="G38" s="174">
        <f t="shared" ref="G38:G48" si="42">E38+F38</f>
        <v>18936</v>
      </c>
      <c r="H38" s="8">
        <v>6145</v>
      </c>
      <c r="I38" s="9">
        <f t="shared" ref="I38:I48" si="43">G38+H38</f>
        <v>25081</v>
      </c>
      <c r="J38" s="8">
        <v>7754</v>
      </c>
      <c r="K38" s="8">
        <v>7940</v>
      </c>
      <c r="L38" s="174">
        <f>+K38+J38</f>
        <v>15694</v>
      </c>
      <c r="M38" s="8">
        <v>8338</v>
      </c>
      <c r="N38" s="174">
        <f>+M38+L38</f>
        <v>24032</v>
      </c>
      <c r="O38" s="8">
        <v>7824</v>
      </c>
      <c r="P38" s="9">
        <f>N38+O38</f>
        <v>31856</v>
      </c>
      <c r="Q38" s="8">
        <v>9060</v>
      </c>
      <c r="R38" s="8">
        <v>9575</v>
      </c>
      <c r="S38" s="174">
        <f t="shared" ref="S38:S48" si="44">Q38+R38</f>
        <v>18635</v>
      </c>
      <c r="T38" s="8">
        <v>8396</v>
      </c>
      <c r="U38" s="174">
        <f t="shared" ref="U38:U48" si="45">S38+T38</f>
        <v>27031</v>
      </c>
      <c r="V38" s="18">
        <f t="shared" si="38"/>
        <v>8381</v>
      </c>
      <c r="W38" s="9">
        <v>35412</v>
      </c>
      <c r="X38" s="8">
        <v>10723</v>
      </c>
      <c r="Y38" s="8">
        <f t="shared" si="39"/>
        <v>10822</v>
      </c>
      <c r="Z38" s="174">
        <v>21545</v>
      </c>
    </row>
    <row r="39" spans="1:26" x14ac:dyDescent="0.35">
      <c r="A39" s="225" t="s">
        <v>688</v>
      </c>
      <c r="B39" s="225" t="s">
        <v>689</v>
      </c>
      <c r="C39" s="8">
        <v>1898</v>
      </c>
      <c r="D39" s="8">
        <f>E39-C39</f>
        <v>2057</v>
      </c>
      <c r="E39" s="174">
        <v>3955</v>
      </c>
      <c r="F39" s="8">
        <f>G39-E39</f>
        <v>2053</v>
      </c>
      <c r="G39" s="174">
        <v>6008</v>
      </c>
      <c r="H39" s="8">
        <f>I39-G39</f>
        <v>1731</v>
      </c>
      <c r="I39" s="9">
        <v>7739</v>
      </c>
      <c r="J39" s="8">
        <v>2893</v>
      </c>
      <c r="K39" s="8">
        <f>L39-J39</f>
        <v>2686</v>
      </c>
      <c r="L39" s="174">
        <v>5579</v>
      </c>
      <c r="M39" s="8">
        <f>N39-L39</f>
        <v>2874</v>
      </c>
      <c r="N39" s="174">
        <v>8453</v>
      </c>
      <c r="O39" s="8">
        <f>P39-N39</f>
        <v>2364</v>
      </c>
      <c r="P39" s="9">
        <v>10817</v>
      </c>
      <c r="Q39" s="8">
        <v>3246</v>
      </c>
      <c r="R39" s="8">
        <f>S39-Q39</f>
        <v>3335</v>
      </c>
      <c r="S39" s="174">
        <v>6581</v>
      </c>
      <c r="T39" s="8">
        <f t="shared" si="37"/>
        <v>3022</v>
      </c>
      <c r="U39" s="174">
        <v>9603</v>
      </c>
      <c r="V39" s="18">
        <f t="shared" si="38"/>
        <v>2775</v>
      </c>
      <c r="W39" s="9">
        <v>12378</v>
      </c>
      <c r="X39" s="8">
        <v>3892</v>
      </c>
      <c r="Y39" s="8">
        <f t="shared" si="39"/>
        <v>4037</v>
      </c>
      <c r="Z39" s="174">
        <v>7929</v>
      </c>
    </row>
    <row r="40" spans="1:26" x14ac:dyDescent="0.35">
      <c r="A40" s="34" t="s">
        <v>132</v>
      </c>
      <c r="B40" s="34" t="s">
        <v>133</v>
      </c>
      <c r="C40" s="8">
        <v>7653</v>
      </c>
      <c r="D40" s="8">
        <v>9967</v>
      </c>
      <c r="E40" s="174">
        <f t="shared" si="41"/>
        <v>17620</v>
      </c>
      <c r="F40" s="8">
        <v>8712</v>
      </c>
      <c r="G40" s="174">
        <f t="shared" si="42"/>
        <v>26332</v>
      </c>
      <c r="H40" s="8">
        <v>10454</v>
      </c>
      <c r="I40" s="9">
        <f t="shared" si="43"/>
        <v>36786</v>
      </c>
      <c r="J40" s="8">
        <v>7668</v>
      </c>
      <c r="K40" s="8">
        <v>14931</v>
      </c>
      <c r="L40" s="174">
        <f>+K40+J40</f>
        <v>22599</v>
      </c>
      <c r="M40" s="8">
        <v>18982</v>
      </c>
      <c r="N40" s="174">
        <f>+M40+L40</f>
        <v>41581</v>
      </c>
      <c r="O40" s="8">
        <v>17181</v>
      </c>
      <c r="P40" s="9">
        <f>N40+O40</f>
        <v>58762</v>
      </c>
      <c r="Q40" s="8">
        <v>16187</v>
      </c>
      <c r="R40" s="8">
        <v>15041</v>
      </c>
      <c r="S40" s="174">
        <f t="shared" si="44"/>
        <v>31228</v>
      </c>
      <c r="T40" s="8">
        <v>12453</v>
      </c>
      <c r="U40" s="174">
        <f t="shared" si="45"/>
        <v>43681</v>
      </c>
      <c r="V40" s="18">
        <f t="shared" si="38"/>
        <v>13639</v>
      </c>
      <c r="W40" s="9">
        <v>57320</v>
      </c>
      <c r="X40" s="8">
        <v>13153</v>
      </c>
      <c r="Y40" s="8">
        <f t="shared" si="39"/>
        <v>16893</v>
      </c>
      <c r="Z40" s="174">
        <v>30046</v>
      </c>
    </row>
    <row r="41" spans="1:26" x14ac:dyDescent="0.35">
      <c r="A41" s="118" t="s">
        <v>690</v>
      </c>
      <c r="B41" s="118" t="s">
        <v>691</v>
      </c>
      <c r="C41" s="8">
        <v>6181</v>
      </c>
      <c r="D41" s="8">
        <f>E41-C41</f>
        <v>7480</v>
      </c>
      <c r="E41" s="174">
        <v>13661</v>
      </c>
      <c r="F41" s="8">
        <f>G41-E41</f>
        <v>6905</v>
      </c>
      <c r="G41" s="174">
        <v>20566</v>
      </c>
      <c r="H41" s="8">
        <f>I41-G41</f>
        <v>7976</v>
      </c>
      <c r="I41" s="9">
        <v>28542</v>
      </c>
      <c r="J41" s="8">
        <v>6098</v>
      </c>
      <c r="K41" s="8">
        <f>L41-J41</f>
        <v>12945</v>
      </c>
      <c r="L41" s="174">
        <v>19043</v>
      </c>
      <c r="M41" s="8">
        <f>N41-L41</f>
        <v>16091</v>
      </c>
      <c r="N41" s="174">
        <v>35134</v>
      </c>
      <c r="O41" s="8">
        <f>P41-N41</f>
        <v>15028</v>
      </c>
      <c r="P41" s="9">
        <v>50162</v>
      </c>
      <c r="Q41" s="8">
        <v>13803</v>
      </c>
      <c r="R41" s="8">
        <f>S41-Q41</f>
        <v>12464</v>
      </c>
      <c r="S41" s="174">
        <v>26267</v>
      </c>
      <c r="T41" s="8">
        <f t="shared" si="37"/>
        <v>9248</v>
      </c>
      <c r="U41" s="174">
        <v>35515</v>
      </c>
      <c r="V41" s="18">
        <f t="shared" si="38"/>
        <v>11082</v>
      </c>
      <c r="W41" s="9">
        <v>46597</v>
      </c>
      <c r="X41" s="8">
        <v>10551</v>
      </c>
      <c r="Y41" s="8">
        <f t="shared" si="39"/>
        <v>14449</v>
      </c>
      <c r="Z41" s="174">
        <v>25000</v>
      </c>
    </row>
    <row r="42" spans="1:26" x14ac:dyDescent="0.35">
      <c r="A42" s="34" t="s">
        <v>134</v>
      </c>
      <c r="B42" s="34" t="s">
        <v>135</v>
      </c>
      <c r="C42" s="8">
        <v>2100</v>
      </c>
      <c r="D42" s="8">
        <v>2604</v>
      </c>
      <c r="E42" s="174">
        <f t="shared" si="41"/>
        <v>4704</v>
      </c>
      <c r="F42" s="8">
        <v>2946</v>
      </c>
      <c r="G42" s="174">
        <f t="shared" si="42"/>
        <v>7650</v>
      </c>
      <c r="H42" s="8">
        <v>2668</v>
      </c>
      <c r="I42" s="9">
        <f t="shared" si="43"/>
        <v>10318</v>
      </c>
      <c r="J42" s="8">
        <v>2563</v>
      </c>
      <c r="K42" s="8">
        <v>5350</v>
      </c>
      <c r="L42" s="174">
        <f>+K42+J42</f>
        <v>7913</v>
      </c>
      <c r="M42" s="8">
        <v>3846</v>
      </c>
      <c r="N42" s="174">
        <f>+M42+L42</f>
        <v>11759</v>
      </c>
      <c r="O42" s="8">
        <v>3236</v>
      </c>
      <c r="P42" s="9">
        <f t="shared" ref="P42:P46" si="46">N42+O42</f>
        <v>14995</v>
      </c>
      <c r="Q42" s="8">
        <v>3986</v>
      </c>
      <c r="R42" s="8">
        <v>3342</v>
      </c>
      <c r="S42" s="174">
        <f t="shared" si="44"/>
        <v>7328</v>
      </c>
      <c r="T42" s="8">
        <v>4431</v>
      </c>
      <c r="U42" s="174">
        <f t="shared" si="45"/>
        <v>11759</v>
      </c>
      <c r="V42" s="18">
        <f t="shared" si="38"/>
        <v>3036</v>
      </c>
      <c r="W42" s="9">
        <v>14795</v>
      </c>
      <c r="X42" s="8">
        <v>5374</v>
      </c>
      <c r="Y42" s="8">
        <f t="shared" si="39"/>
        <v>2644</v>
      </c>
      <c r="Z42" s="174">
        <v>8018</v>
      </c>
    </row>
    <row r="43" spans="1:26" x14ac:dyDescent="0.35">
      <c r="A43" s="118" t="s">
        <v>669</v>
      </c>
      <c r="B43" s="118" t="s">
        <v>669</v>
      </c>
      <c r="C43" s="8">
        <v>1639</v>
      </c>
      <c r="D43" s="8">
        <f>E43-C43</f>
        <v>2127</v>
      </c>
      <c r="E43" s="174">
        <v>3766</v>
      </c>
      <c r="F43" s="8">
        <f>G43-E43</f>
        <v>2438</v>
      </c>
      <c r="G43" s="174">
        <v>6204</v>
      </c>
      <c r="H43" s="8">
        <f>I43-G43</f>
        <v>2194</v>
      </c>
      <c r="I43" s="9">
        <v>8398</v>
      </c>
      <c r="J43" s="8">
        <v>1783</v>
      </c>
      <c r="K43" s="8">
        <f>L43-J43</f>
        <v>4509</v>
      </c>
      <c r="L43" s="174">
        <v>6292</v>
      </c>
      <c r="M43" s="8">
        <f>N43-L43</f>
        <v>2718</v>
      </c>
      <c r="N43" s="174">
        <v>9010</v>
      </c>
      <c r="O43" s="8">
        <f>P43-N43</f>
        <v>2682</v>
      </c>
      <c r="P43" s="9">
        <v>11692</v>
      </c>
      <c r="Q43" s="8">
        <v>3252</v>
      </c>
      <c r="R43" s="8">
        <f>S43-Q43</f>
        <v>2565</v>
      </c>
      <c r="S43" s="174">
        <v>5817</v>
      </c>
      <c r="T43" s="8">
        <f t="shared" si="37"/>
        <v>3634</v>
      </c>
      <c r="U43" s="174">
        <v>9451</v>
      </c>
      <c r="V43" s="18">
        <f t="shared" si="38"/>
        <v>2324</v>
      </c>
      <c r="W43" s="9">
        <v>11775</v>
      </c>
      <c r="X43" s="8">
        <v>4615</v>
      </c>
      <c r="Y43" s="8">
        <f t="shared" si="39"/>
        <v>1782</v>
      </c>
      <c r="Z43" s="174">
        <v>6397</v>
      </c>
    </row>
    <row r="44" spans="1:26" x14ac:dyDescent="0.35">
      <c r="A44" s="34" t="s">
        <v>136</v>
      </c>
      <c r="B44" s="34" t="s">
        <v>137</v>
      </c>
      <c r="C44" s="8">
        <v>2929</v>
      </c>
      <c r="D44" s="8">
        <v>5381</v>
      </c>
      <c r="E44" s="174">
        <f t="shared" si="41"/>
        <v>8310</v>
      </c>
      <c r="F44" s="8">
        <v>4211</v>
      </c>
      <c r="G44" s="174">
        <f t="shared" si="42"/>
        <v>12521</v>
      </c>
      <c r="H44" s="8">
        <v>5812</v>
      </c>
      <c r="I44" s="9">
        <f t="shared" si="43"/>
        <v>18333</v>
      </c>
      <c r="J44" s="8">
        <v>5345</v>
      </c>
      <c r="K44" s="8">
        <v>4542</v>
      </c>
      <c r="L44" s="174">
        <f>J44+K44</f>
        <v>9887</v>
      </c>
      <c r="M44" s="8">
        <v>5477</v>
      </c>
      <c r="N44" s="174">
        <f>L44+M44</f>
        <v>15364</v>
      </c>
      <c r="O44" s="8">
        <v>4990</v>
      </c>
      <c r="P44" s="9">
        <f>N44+O44</f>
        <v>20354</v>
      </c>
      <c r="Q44" s="8">
        <v>4847</v>
      </c>
      <c r="R44" s="8">
        <v>7923</v>
      </c>
      <c r="S44" s="174">
        <f t="shared" si="44"/>
        <v>12770</v>
      </c>
      <c r="T44" s="8">
        <v>5377</v>
      </c>
      <c r="U44" s="174">
        <f t="shared" si="45"/>
        <v>18147</v>
      </c>
      <c r="V44" s="18">
        <f t="shared" si="38"/>
        <v>6708</v>
      </c>
      <c r="W44" s="9">
        <v>24855</v>
      </c>
      <c r="X44" s="8">
        <v>10335</v>
      </c>
      <c r="Y44" s="8">
        <f t="shared" si="39"/>
        <v>9618</v>
      </c>
      <c r="Z44" s="174">
        <v>19953</v>
      </c>
    </row>
    <row r="45" spans="1:26" x14ac:dyDescent="0.35">
      <c r="A45" s="118" t="s">
        <v>692</v>
      </c>
      <c r="B45" s="118" t="s">
        <v>693</v>
      </c>
      <c r="C45" s="8">
        <v>951</v>
      </c>
      <c r="D45" s="8">
        <f>E45-C45</f>
        <v>4166</v>
      </c>
      <c r="E45" s="174">
        <v>5117</v>
      </c>
      <c r="F45" s="8">
        <f>G45-E45</f>
        <v>2828</v>
      </c>
      <c r="G45" s="174">
        <v>7945</v>
      </c>
      <c r="H45" s="8">
        <f>I45-G45</f>
        <v>4420</v>
      </c>
      <c r="I45" s="9">
        <v>12365</v>
      </c>
      <c r="J45" s="8">
        <v>3828</v>
      </c>
      <c r="K45" s="8">
        <f>L45-J45</f>
        <v>3193</v>
      </c>
      <c r="L45" s="174">
        <v>7021</v>
      </c>
      <c r="M45" s="8">
        <f>N45-L45</f>
        <v>5005</v>
      </c>
      <c r="N45" s="174">
        <v>12026</v>
      </c>
      <c r="O45" s="8">
        <f>P45-N45</f>
        <v>4678</v>
      </c>
      <c r="P45" s="9">
        <v>16704</v>
      </c>
      <c r="Q45" s="8">
        <v>3620</v>
      </c>
      <c r="R45" s="8">
        <f>S45-Q45</f>
        <v>6901</v>
      </c>
      <c r="S45" s="174">
        <v>10521</v>
      </c>
      <c r="T45" s="8">
        <f t="shared" si="37"/>
        <v>4235</v>
      </c>
      <c r="U45" s="174">
        <v>14756</v>
      </c>
      <c r="V45" s="18">
        <f t="shared" si="38"/>
        <v>4826</v>
      </c>
      <c r="W45" s="9">
        <v>19582</v>
      </c>
      <c r="X45" s="347">
        <v>8996</v>
      </c>
      <c r="Y45" s="8">
        <f t="shared" si="39"/>
        <v>8530</v>
      </c>
      <c r="Z45" s="174">
        <v>17526</v>
      </c>
    </row>
    <row r="46" spans="1:26" x14ac:dyDescent="0.35">
      <c r="A46" s="34" t="s">
        <v>138</v>
      </c>
      <c r="B46" s="34" t="s">
        <v>139</v>
      </c>
      <c r="C46" s="8">
        <v>2837</v>
      </c>
      <c r="D46" s="8">
        <v>2284</v>
      </c>
      <c r="E46" s="174">
        <f t="shared" si="41"/>
        <v>5121</v>
      </c>
      <c r="F46" s="8">
        <v>2923</v>
      </c>
      <c r="G46" s="174">
        <f t="shared" si="42"/>
        <v>8044</v>
      </c>
      <c r="H46" s="8">
        <v>3222</v>
      </c>
      <c r="I46" s="9">
        <f t="shared" si="43"/>
        <v>11266</v>
      </c>
      <c r="J46" s="8">
        <v>3075</v>
      </c>
      <c r="K46" s="8">
        <v>4419</v>
      </c>
      <c r="L46" s="174">
        <f>J46+K46</f>
        <v>7494</v>
      </c>
      <c r="M46" s="8">
        <v>5039</v>
      </c>
      <c r="N46" s="174">
        <f t="shared" ref="N46" si="47">L46+M46</f>
        <v>12533</v>
      </c>
      <c r="O46" s="8">
        <v>6866</v>
      </c>
      <c r="P46" s="9">
        <f t="shared" si="46"/>
        <v>19399</v>
      </c>
      <c r="Q46" s="8">
        <v>4647</v>
      </c>
      <c r="R46" s="8">
        <v>5261</v>
      </c>
      <c r="S46" s="174">
        <f t="shared" si="44"/>
        <v>9908</v>
      </c>
      <c r="T46" s="8">
        <v>7163</v>
      </c>
      <c r="U46" s="174">
        <f t="shared" si="45"/>
        <v>17071</v>
      </c>
      <c r="V46" s="18">
        <f t="shared" si="38"/>
        <v>5936</v>
      </c>
      <c r="W46" s="9">
        <v>23007</v>
      </c>
      <c r="X46" s="8">
        <v>6422</v>
      </c>
      <c r="Y46" s="8">
        <f t="shared" si="39"/>
        <v>7412</v>
      </c>
      <c r="Z46" s="174">
        <v>13834</v>
      </c>
    </row>
    <row r="47" spans="1:26" x14ac:dyDescent="0.35">
      <c r="A47" s="118" t="s">
        <v>694</v>
      </c>
      <c r="B47" s="118" t="s">
        <v>695</v>
      </c>
      <c r="C47" s="8">
        <v>1102</v>
      </c>
      <c r="D47" s="8">
        <f>E47-C47</f>
        <v>551</v>
      </c>
      <c r="E47" s="174">
        <v>1653</v>
      </c>
      <c r="F47" s="8">
        <f>G47-E47</f>
        <v>1242</v>
      </c>
      <c r="G47" s="174">
        <v>2895</v>
      </c>
      <c r="H47" s="8">
        <f>I47-G47</f>
        <v>1413</v>
      </c>
      <c r="I47" s="9">
        <v>4308</v>
      </c>
      <c r="J47" s="8">
        <v>1145</v>
      </c>
      <c r="K47" s="8">
        <f>L47-J47</f>
        <v>1746</v>
      </c>
      <c r="L47" s="174">
        <v>2891</v>
      </c>
      <c r="M47" s="8">
        <f>N47-L47</f>
        <v>2287</v>
      </c>
      <c r="N47" s="174">
        <v>5178</v>
      </c>
      <c r="O47" s="8">
        <f>P47-N47</f>
        <v>4002</v>
      </c>
      <c r="P47" s="9">
        <v>9180</v>
      </c>
      <c r="Q47" s="8">
        <v>1481</v>
      </c>
      <c r="R47" s="8">
        <f>S47-Q47</f>
        <v>1995</v>
      </c>
      <c r="S47" s="174">
        <v>3476</v>
      </c>
      <c r="T47" s="8">
        <f t="shared" si="37"/>
        <v>2979</v>
      </c>
      <c r="U47" s="174">
        <v>6455</v>
      </c>
      <c r="V47" s="18">
        <f t="shared" si="38"/>
        <v>2189</v>
      </c>
      <c r="W47" s="9">
        <v>8644</v>
      </c>
      <c r="X47" s="8">
        <v>1836</v>
      </c>
      <c r="Y47" s="8">
        <f t="shared" si="39"/>
        <v>3689</v>
      </c>
      <c r="Z47" s="174">
        <v>5525</v>
      </c>
    </row>
    <row r="48" spans="1:26" x14ac:dyDescent="0.35">
      <c r="A48" s="34" t="s">
        <v>140</v>
      </c>
      <c r="B48" s="34" t="s">
        <v>141</v>
      </c>
      <c r="C48" s="8">
        <v>878</v>
      </c>
      <c r="D48" s="8">
        <v>408</v>
      </c>
      <c r="E48" s="174">
        <f t="shared" si="41"/>
        <v>1286</v>
      </c>
      <c r="F48" s="8">
        <v>440</v>
      </c>
      <c r="G48" s="174">
        <f t="shared" si="42"/>
        <v>1726</v>
      </c>
      <c r="H48" s="8">
        <v>701</v>
      </c>
      <c r="I48" s="9">
        <f t="shared" si="43"/>
        <v>2427</v>
      </c>
      <c r="J48" s="8">
        <v>407</v>
      </c>
      <c r="K48" s="8">
        <v>937</v>
      </c>
      <c r="L48" s="174">
        <f>J48+K48</f>
        <v>1344</v>
      </c>
      <c r="M48" s="8">
        <v>995</v>
      </c>
      <c r="N48" s="174">
        <f>L48+M48</f>
        <v>2339</v>
      </c>
      <c r="O48" s="8">
        <v>1539</v>
      </c>
      <c r="P48" s="9">
        <f>N48+O48</f>
        <v>3878</v>
      </c>
      <c r="Q48" s="8">
        <v>1798</v>
      </c>
      <c r="R48" s="8">
        <v>1329</v>
      </c>
      <c r="S48" s="174">
        <f t="shared" si="44"/>
        <v>3127</v>
      </c>
      <c r="T48" s="8">
        <v>1250</v>
      </c>
      <c r="U48" s="174">
        <f t="shared" si="45"/>
        <v>4377</v>
      </c>
      <c r="V48" s="18">
        <f t="shared" si="38"/>
        <v>876</v>
      </c>
      <c r="W48" s="9">
        <v>5253</v>
      </c>
      <c r="X48" s="8">
        <v>1130</v>
      </c>
      <c r="Y48" s="8">
        <f t="shared" si="39"/>
        <v>1792</v>
      </c>
      <c r="Z48" s="174">
        <v>2922</v>
      </c>
    </row>
    <row r="49" spans="1:27" x14ac:dyDescent="0.35">
      <c r="A49" s="11" t="s">
        <v>142</v>
      </c>
      <c r="B49" s="11" t="s">
        <v>64</v>
      </c>
      <c r="C49" s="12">
        <f t="shared" ref="C49:H49" si="48">C$32+C$38+C$40+C$42+C$44+C$46+C$48</f>
        <v>37935</v>
      </c>
      <c r="D49" s="12">
        <f t="shared" si="48"/>
        <v>42301</v>
      </c>
      <c r="E49" s="173">
        <f t="shared" si="48"/>
        <v>80236</v>
      </c>
      <c r="F49" s="12">
        <f t="shared" si="48"/>
        <v>40192</v>
      </c>
      <c r="G49" s="173">
        <f t="shared" si="48"/>
        <v>120428</v>
      </c>
      <c r="H49" s="12">
        <f t="shared" si="48"/>
        <v>44715</v>
      </c>
      <c r="I49" s="13">
        <f t="shared" ref="I49:U49" si="49">I$32+I$38+I$40+I$42+I$44+I$46+I$48</f>
        <v>165143</v>
      </c>
      <c r="J49" s="12">
        <f t="shared" si="49"/>
        <v>44782</v>
      </c>
      <c r="K49" s="12">
        <f>K$32+K$38+K$40+K$42+K$44+K$46+K$48</f>
        <v>58065</v>
      </c>
      <c r="L49" s="173">
        <f t="shared" si="49"/>
        <v>102847</v>
      </c>
      <c r="M49" s="12">
        <f>M$32+M$38+M$40+M$42+M$44+M$46+M$48</f>
        <v>62961</v>
      </c>
      <c r="N49" s="173">
        <f t="shared" si="49"/>
        <v>165808</v>
      </c>
      <c r="O49" s="12">
        <f t="shared" si="49"/>
        <v>63398</v>
      </c>
      <c r="P49" s="13">
        <f>P$32+P$38+P$40+P$42+P$44+P$46+P$48</f>
        <v>229206</v>
      </c>
      <c r="Q49" s="12">
        <f t="shared" si="49"/>
        <v>63320</v>
      </c>
      <c r="R49" s="12">
        <f t="shared" si="49"/>
        <v>66418</v>
      </c>
      <c r="S49" s="173">
        <f t="shared" si="49"/>
        <v>129738</v>
      </c>
      <c r="T49" s="12">
        <f t="shared" si="49"/>
        <v>62195</v>
      </c>
      <c r="U49" s="173">
        <f t="shared" si="49"/>
        <v>191933</v>
      </c>
      <c r="V49" s="12">
        <f t="shared" si="38"/>
        <v>63740</v>
      </c>
      <c r="W49" s="13">
        <v>255673</v>
      </c>
      <c r="X49" s="12">
        <f>X$32+X$38+X$40+X$42+X$44+X$46+X$48</f>
        <v>74188</v>
      </c>
      <c r="Y49" s="12">
        <f t="shared" si="39"/>
        <v>75331</v>
      </c>
      <c r="Z49" s="173">
        <f>SUM(Z32+Z38+Z40+Z42+Z44+Z46+Z48)</f>
        <v>149519</v>
      </c>
    </row>
    <row r="50" spans="1:27" x14ac:dyDescent="0.35">
      <c r="I50" s="20"/>
      <c r="V50" s="3"/>
      <c r="W50" s="3"/>
    </row>
    <row r="51" spans="1:27" x14ac:dyDescent="0.35">
      <c r="V51" s="3"/>
      <c r="W51" s="3"/>
    </row>
    <row r="52" spans="1:27" ht="15" thickBot="1" x14ac:dyDescent="0.4">
      <c r="A52" s="21" t="s">
        <v>696</v>
      </c>
      <c r="B52" s="161" t="s">
        <v>697</v>
      </c>
      <c r="C52" s="22"/>
      <c r="D52" s="22"/>
      <c r="E52" s="22"/>
      <c r="F52" s="22"/>
      <c r="G52" s="22"/>
      <c r="H52" s="23"/>
      <c r="I52" s="22"/>
      <c r="J52" s="22"/>
      <c r="K52" s="22"/>
      <c r="L52" s="22"/>
      <c r="M52" s="22"/>
      <c r="N52" s="22"/>
      <c r="O52" s="22"/>
      <c r="P52" s="22"/>
      <c r="Q52" s="22"/>
      <c r="R52" s="22"/>
      <c r="S52" s="22"/>
      <c r="T52" s="22"/>
      <c r="U52" s="22"/>
      <c r="V52" s="22"/>
      <c r="W52" s="22"/>
      <c r="X52" s="22"/>
      <c r="Y52" s="22"/>
      <c r="Z52" s="22"/>
    </row>
    <row r="53" spans="1:27" x14ac:dyDescent="0.35">
      <c r="A53" s="34" t="s">
        <v>128</v>
      </c>
      <c r="B53" s="34" t="s">
        <v>129</v>
      </c>
      <c r="C53" s="24">
        <f>C32/C$49</f>
        <v>0.39847106893370238</v>
      </c>
      <c r="D53" s="24">
        <f t="shared" ref="D53:I53" si="50">D32/D$49</f>
        <v>0.36940025058509257</v>
      </c>
      <c r="E53" s="177">
        <f t="shared" ref="E53:G53" si="51">E32/E$49</f>
        <v>0.38314472306695246</v>
      </c>
      <c r="F53" s="24">
        <f t="shared" si="50"/>
        <v>0.36019605891719747</v>
      </c>
      <c r="G53" s="177">
        <f t="shared" si="51"/>
        <v>0.37548576742950146</v>
      </c>
      <c r="H53" s="24">
        <f t="shared" si="50"/>
        <v>0.35140333221514031</v>
      </c>
      <c r="I53" s="25">
        <f t="shared" si="50"/>
        <v>0.3689650787499319</v>
      </c>
      <c r="J53" s="24">
        <f t="shared" ref="J53:U53" si="52">J32/J$49</f>
        <v>0.40127729891474251</v>
      </c>
      <c r="K53" s="24">
        <f t="shared" si="52"/>
        <v>0.34351158184792907</v>
      </c>
      <c r="L53" s="177">
        <f t="shared" si="52"/>
        <v>0.36866413215747662</v>
      </c>
      <c r="M53" s="24">
        <f t="shared" si="52"/>
        <v>0.32216769111036991</v>
      </c>
      <c r="N53" s="177">
        <f t="shared" si="52"/>
        <v>0.35100839525234007</v>
      </c>
      <c r="O53" s="24">
        <f t="shared" si="52"/>
        <v>0.34326003974888797</v>
      </c>
      <c r="P53" s="25">
        <f t="shared" si="52"/>
        <v>0.34886521295254053</v>
      </c>
      <c r="Q53" s="24">
        <f t="shared" si="52"/>
        <v>0.35999684144030319</v>
      </c>
      <c r="R53" s="24">
        <f t="shared" si="52"/>
        <v>0.3605498509440212</v>
      </c>
      <c r="S53" s="177">
        <f t="shared" si="52"/>
        <v>0.36027994881992942</v>
      </c>
      <c r="T53" s="24">
        <f t="shared" si="52"/>
        <v>0.37181445453814616</v>
      </c>
      <c r="U53" s="177">
        <f t="shared" si="52"/>
        <v>0.36401765199314345</v>
      </c>
      <c r="V53" s="24">
        <f t="shared" ref="V53:X53" si="53">V32/V$49</f>
        <v>0.39479133981801068</v>
      </c>
      <c r="W53" s="25">
        <f t="shared" si="53"/>
        <v>0.3716896191619764</v>
      </c>
      <c r="X53" s="24">
        <f t="shared" si="53"/>
        <v>0.36462770259341132</v>
      </c>
      <c r="Y53" s="24">
        <f>Y32/Y$49</f>
        <v>0.34713464576336434</v>
      </c>
      <c r="Z53" s="177">
        <f>Z32/Z$49</f>
        <v>0.3558143112246604</v>
      </c>
    </row>
    <row r="54" spans="1:27" x14ac:dyDescent="0.35">
      <c r="A54" s="34" t="s">
        <v>130</v>
      </c>
      <c r="B54" s="34" t="s">
        <v>131</v>
      </c>
      <c r="C54" s="24">
        <f>C38/C$49</f>
        <v>0.16928957427178068</v>
      </c>
      <c r="D54" s="24">
        <f>D38/D$49</f>
        <v>0.14257346162029266</v>
      </c>
      <c r="E54" s="177">
        <f t="shared" ref="E54:G54" si="54">E38/E$49</f>
        <v>0.15520464629343436</v>
      </c>
      <c r="F54" s="24">
        <f>F38/F$49</f>
        <v>0.16130075636942676</v>
      </c>
      <c r="G54" s="177">
        <f t="shared" si="54"/>
        <v>0.15723918025708308</v>
      </c>
      <c r="H54" s="24">
        <f>H38/H$49</f>
        <v>0.1374259197137426</v>
      </c>
      <c r="I54" s="25">
        <f t="shared" ref="I54:U54" si="55">I38/I$49</f>
        <v>0.15187443609477846</v>
      </c>
      <c r="J54" s="24">
        <f t="shared" si="55"/>
        <v>0.17314992630967799</v>
      </c>
      <c r="K54" s="24">
        <f t="shared" si="55"/>
        <v>0.13674330491690348</v>
      </c>
      <c r="L54" s="177">
        <f t="shared" si="55"/>
        <v>0.15259560317753557</v>
      </c>
      <c r="M54" s="24">
        <f t="shared" si="55"/>
        <v>0.13243118756055336</v>
      </c>
      <c r="N54" s="177">
        <f t="shared" si="55"/>
        <v>0.14493872430763294</v>
      </c>
      <c r="O54" s="24">
        <f t="shared" si="55"/>
        <v>0.1234108331493107</v>
      </c>
      <c r="P54" s="25">
        <f t="shared" si="55"/>
        <v>0.1389841452667033</v>
      </c>
      <c r="Q54" s="24">
        <f t="shared" si="55"/>
        <v>0.14308275426405559</v>
      </c>
      <c r="R54" s="24">
        <f t="shared" si="55"/>
        <v>0.14416272697160409</v>
      </c>
      <c r="S54" s="177">
        <f t="shared" si="55"/>
        <v>0.1436356348949421</v>
      </c>
      <c r="T54" s="24">
        <f t="shared" si="55"/>
        <v>0.13499477449955785</v>
      </c>
      <c r="U54" s="177">
        <f t="shared" si="55"/>
        <v>0.14083560409101092</v>
      </c>
      <c r="V54" s="24">
        <f t="shared" ref="V54:X54" si="56">V38/V$49</f>
        <v>0.13148729212425478</v>
      </c>
      <c r="W54" s="25">
        <f t="shared" si="56"/>
        <v>0.13850504355172427</v>
      </c>
      <c r="X54" s="24">
        <f t="shared" si="56"/>
        <v>0.14453820024801856</v>
      </c>
      <c r="Y54" s="24">
        <f>Y38/Y$49</f>
        <v>0.14365931688149633</v>
      </c>
      <c r="Z54" s="177">
        <f>Z38/Z$49</f>
        <v>0.14409539924691844</v>
      </c>
    </row>
    <row r="55" spans="1:27" x14ac:dyDescent="0.35">
      <c r="A55" s="34" t="s">
        <v>132</v>
      </c>
      <c r="B55" s="34" t="s">
        <v>133</v>
      </c>
      <c r="C55" s="24">
        <f t="shared" ref="C55:H55" si="57">C40/C$49</f>
        <v>0.20173981810992486</v>
      </c>
      <c r="D55" s="24">
        <f t="shared" si="57"/>
        <v>0.23562090730715585</v>
      </c>
      <c r="E55" s="177">
        <f t="shared" si="57"/>
        <v>0.21960217358791564</v>
      </c>
      <c r="F55" s="24">
        <f t="shared" si="57"/>
        <v>0.21675955414012738</v>
      </c>
      <c r="G55" s="177">
        <f t="shared" si="57"/>
        <v>0.21865346929285548</v>
      </c>
      <c r="H55" s="24">
        <f t="shared" si="57"/>
        <v>0.23379179246337917</v>
      </c>
      <c r="I55" s="25">
        <f t="shared" ref="I55:T55" si="58">I40/I$49</f>
        <v>0.22275240246331968</v>
      </c>
      <c r="J55" s="24">
        <f t="shared" si="58"/>
        <v>0.17122951185744273</v>
      </c>
      <c r="K55" s="24">
        <f t="shared" si="58"/>
        <v>0.25714285714285712</v>
      </c>
      <c r="L55" s="177">
        <f>L40/L$49</f>
        <v>0.21973416823047828</v>
      </c>
      <c r="M55" s="24">
        <f t="shared" si="58"/>
        <v>0.30148822286812471</v>
      </c>
      <c r="N55" s="177">
        <f>N40/N$49</f>
        <v>0.25077800829875518</v>
      </c>
      <c r="O55" s="24">
        <f t="shared" si="58"/>
        <v>0.2710022398182908</v>
      </c>
      <c r="P55" s="25">
        <f t="shared" si="58"/>
        <v>0.25637199724265508</v>
      </c>
      <c r="Q55" s="24">
        <f t="shared" si="58"/>
        <v>0.25563802905874922</v>
      </c>
      <c r="R55" s="24">
        <f t="shared" si="58"/>
        <v>0.22645969466108584</v>
      </c>
      <c r="S55" s="177">
        <f>S40/S$49</f>
        <v>0.24070048867718016</v>
      </c>
      <c r="T55" s="24">
        <f t="shared" si="58"/>
        <v>0.20022509848058526</v>
      </c>
      <c r="U55" s="177">
        <f>U40/U$49</f>
        <v>0.22758462588507447</v>
      </c>
      <c r="V55" s="24">
        <f t="shared" ref="V55:X55" si="59">V40/V$49</f>
        <v>0.21397866331973642</v>
      </c>
      <c r="W55" s="25">
        <f t="shared" si="59"/>
        <v>0.22419262104328577</v>
      </c>
      <c r="X55" s="24">
        <f t="shared" si="59"/>
        <v>0.17729282363724591</v>
      </c>
      <c r="Y55" s="24">
        <f>Y40/Y$49</f>
        <v>0.22425030863787818</v>
      </c>
      <c r="Z55" s="177">
        <f>Z40/Z$49</f>
        <v>0.20095104969936931</v>
      </c>
    </row>
    <row r="56" spans="1:27" x14ac:dyDescent="0.35">
      <c r="A56" s="34" t="s">
        <v>134</v>
      </c>
      <c r="B56" s="34" t="s">
        <v>135</v>
      </c>
      <c r="C56" s="24">
        <f>C42/C$49</f>
        <v>5.5357848952155002E-2</v>
      </c>
      <c r="D56" s="24">
        <f>D42/D$49</f>
        <v>6.1558828396491808E-2</v>
      </c>
      <c r="E56" s="177">
        <f t="shared" ref="E56:G56" si="60">E42/E$49</f>
        <v>5.8627050201904382E-2</v>
      </c>
      <c r="F56" s="24">
        <f>F42/F$49</f>
        <v>7.3298168789808923E-2</v>
      </c>
      <c r="G56" s="177">
        <f t="shared" si="60"/>
        <v>6.352343308865048E-2</v>
      </c>
      <c r="H56" s="24">
        <f>H42/H$49</f>
        <v>5.966677848596668E-2</v>
      </c>
      <c r="I56" s="25">
        <f t="shared" ref="I56:U56" si="61">I42/I$49</f>
        <v>6.2479184706587622E-2</v>
      </c>
      <c r="J56" s="24">
        <f t="shared" si="61"/>
        <v>5.7232816756732613E-2</v>
      </c>
      <c r="K56" s="24">
        <f t="shared" si="61"/>
        <v>9.2138121071213289E-2</v>
      </c>
      <c r="L56" s="177">
        <f t="shared" si="61"/>
        <v>7.6939531537137687E-2</v>
      </c>
      <c r="M56" s="24">
        <f t="shared" si="61"/>
        <v>6.1085433839996185E-2</v>
      </c>
      <c r="N56" s="177">
        <f t="shared" si="61"/>
        <v>7.0919376628389458E-2</v>
      </c>
      <c r="O56" s="24">
        <f t="shared" si="61"/>
        <v>5.1042619640998141E-2</v>
      </c>
      <c r="P56" s="25">
        <f t="shared" si="61"/>
        <v>6.5421498564610006E-2</v>
      </c>
      <c r="Q56" s="24">
        <f t="shared" si="61"/>
        <v>6.2950094756790906E-2</v>
      </c>
      <c r="R56" s="24">
        <f t="shared" si="61"/>
        <v>5.0317684964919146E-2</v>
      </c>
      <c r="S56" s="177">
        <f t="shared" si="61"/>
        <v>5.6483065871217375E-2</v>
      </c>
      <c r="T56" s="24">
        <f t="shared" si="61"/>
        <v>7.124366910523354E-2</v>
      </c>
      <c r="U56" s="177">
        <f t="shared" si="61"/>
        <v>6.1266171007591193E-2</v>
      </c>
      <c r="V56" s="24">
        <f>V42/V$49</f>
        <v>4.7631000941324129E-2</v>
      </c>
      <c r="W56" s="25">
        <f t="shared" ref="W56:X56" si="62">W42/W$49</f>
        <v>5.7866884653444049E-2</v>
      </c>
      <c r="X56" s="24">
        <f t="shared" si="62"/>
        <v>7.243759098506497E-2</v>
      </c>
      <c r="Y56" s="24">
        <f>Y42/Y$49</f>
        <v>3.5098432252326402E-2</v>
      </c>
      <c r="Z56" s="177">
        <f>Z42/Z$49</f>
        <v>5.3625291768939064E-2</v>
      </c>
    </row>
    <row r="57" spans="1:27" x14ac:dyDescent="0.35">
      <c r="A57" s="34" t="s">
        <v>136</v>
      </c>
      <c r="B57" s="34" t="s">
        <v>137</v>
      </c>
      <c r="C57" s="24">
        <f>C44/C$49</f>
        <v>7.7211018848029528E-2</v>
      </c>
      <c r="D57" s="24">
        <f>D44/D$49</f>
        <v>0.12720739462424055</v>
      </c>
      <c r="E57" s="177">
        <f t="shared" ref="E57:G57" si="63">E44/E$49</f>
        <v>0.10356947006331323</v>
      </c>
      <c r="F57" s="24">
        <f>F44/F$49</f>
        <v>0.10477209394904459</v>
      </c>
      <c r="G57" s="177">
        <f t="shared" si="63"/>
        <v>0.10397083734679642</v>
      </c>
      <c r="H57" s="24">
        <f>H44/H$49</f>
        <v>0.12997875433299788</v>
      </c>
      <c r="I57" s="25">
        <f t="shared" ref="I57:U57" si="64">I44/I$49</f>
        <v>0.11101287974664381</v>
      </c>
      <c r="J57" s="24">
        <f t="shared" si="64"/>
        <v>0.11935599124648297</v>
      </c>
      <c r="K57" s="24">
        <f t="shared" si="64"/>
        <v>7.8222681477654349E-2</v>
      </c>
      <c r="L57" s="177">
        <f t="shared" si="64"/>
        <v>9.6133090902019505E-2</v>
      </c>
      <c r="M57" s="24">
        <f t="shared" si="64"/>
        <v>8.699035911119582E-2</v>
      </c>
      <c r="N57" s="177">
        <f t="shared" si="64"/>
        <v>9.266139148895107E-2</v>
      </c>
      <c r="O57" s="24">
        <f t="shared" si="64"/>
        <v>7.8709107542824688E-2</v>
      </c>
      <c r="P57" s="25">
        <f t="shared" si="64"/>
        <v>8.8802212856556983E-2</v>
      </c>
      <c r="Q57" s="24">
        <f t="shared" si="64"/>
        <v>7.6547694251421355E-2</v>
      </c>
      <c r="R57" s="24">
        <f t="shared" si="64"/>
        <v>0.11928995151916649</v>
      </c>
      <c r="S57" s="177">
        <f t="shared" si="64"/>
        <v>9.8429141808876353E-2</v>
      </c>
      <c r="T57" s="24">
        <f t="shared" si="64"/>
        <v>8.6453895007637269E-2</v>
      </c>
      <c r="U57" s="177">
        <f t="shared" si="64"/>
        <v>9.4548618528340622E-2</v>
      </c>
      <c r="V57" s="24">
        <f t="shared" ref="V57:X57" si="65">V44/V$49</f>
        <v>0.10524003765296518</v>
      </c>
      <c r="W57" s="25">
        <f t="shared" si="65"/>
        <v>9.7214019470182614E-2</v>
      </c>
      <c r="X57" s="24">
        <f t="shared" si="65"/>
        <v>0.13930824392084973</v>
      </c>
      <c r="Y57" s="24">
        <f>Y44/Y$49</f>
        <v>0.12767652095418885</v>
      </c>
      <c r="Z57" s="177">
        <f>Z44/Z$49</f>
        <v>0.13344792300644065</v>
      </c>
    </row>
    <row r="58" spans="1:27" x14ac:dyDescent="0.35">
      <c r="A58" s="34" t="s">
        <v>138</v>
      </c>
      <c r="B58" s="34" t="s">
        <v>139</v>
      </c>
      <c r="C58" s="24">
        <f t="shared" ref="C58:H58" si="66">C46/C$49</f>
        <v>7.4785817846316063E-2</v>
      </c>
      <c r="D58" s="24">
        <f t="shared" si="66"/>
        <v>5.3993995413820002E-2</v>
      </c>
      <c r="E58" s="177">
        <f t="shared" si="66"/>
        <v>6.3824218555261977E-2</v>
      </c>
      <c r="F58" s="24">
        <f t="shared" si="66"/>
        <v>7.2725915605095545E-2</v>
      </c>
      <c r="G58" s="177">
        <f t="shared" si="66"/>
        <v>6.6795097485634572E-2</v>
      </c>
      <c r="H58" s="24">
        <f t="shared" si="66"/>
        <v>7.2056356927205634E-2</v>
      </c>
      <c r="I58" s="25">
        <f t="shared" ref="I58:T58" si="67">I46/I$49</f>
        <v>6.8219664169840682E-2</v>
      </c>
      <c r="J58" s="24">
        <f t="shared" si="67"/>
        <v>6.8665981867714707E-2</v>
      </c>
      <c r="K58" s="24">
        <f t="shared" si="67"/>
        <v>7.6104365796951692E-2</v>
      </c>
      <c r="L58" s="177">
        <f>L46/L$49</f>
        <v>7.2865518683092365E-2</v>
      </c>
      <c r="M58" s="24">
        <f t="shared" si="67"/>
        <v>8.0033671637998127E-2</v>
      </c>
      <c r="N58" s="177">
        <f>N46/N$49</f>
        <v>7.5587426420920589E-2</v>
      </c>
      <c r="O58" s="24">
        <f t="shared" si="67"/>
        <v>0.10829994637054796</v>
      </c>
      <c r="P58" s="25">
        <f t="shared" si="67"/>
        <v>8.4635655262078655E-2</v>
      </c>
      <c r="Q58" s="24">
        <f t="shared" si="67"/>
        <v>7.3389134554643076E-2</v>
      </c>
      <c r="R58" s="24">
        <f t="shared" si="67"/>
        <v>7.9210454997139329E-2</v>
      </c>
      <c r="S58" s="177">
        <f>S46/S$49</f>
        <v>7.6369298123911272E-2</v>
      </c>
      <c r="T58" s="24">
        <f t="shared" si="67"/>
        <v>0.11517002974515636</v>
      </c>
      <c r="U58" s="177">
        <f>U46/U$49</f>
        <v>8.894249555834588E-2</v>
      </c>
      <c r="V58" s="24">
        <f t="shared" ref="V58:X58" si="68">V46/V$49</f>
        <v>9.3128333856291184E-2</v>
      </c>
      <c r="W58" s="25">
        <f t="shared" si="68"/>
        <v>8.9986036851759862E-2</v>
      </c>
      <c r="X58" s="24">
        <f t="shared" si="68"/>
        <v>8.6563864775974553E-2</v>
      </c>
      <c r="Y58" s="24">
        <f>Y46/Y$49</f>
        <v>9.8392428084055697E-2</v>
      </c>
      <c r="Z58" s="177">
        <f>Z46/Z$49</f>
        <v>9.2523358235408207E-2</v>
      </c>
    </row>
    <row r="59" spans="1:27" x14ac:dyDescent="0.35">
      <c r="A59" s="34" t="s">
        <v>140</v>
      </c>
      <c r="B59" s="34" t="s">
        <v>141</v>
      </c>
      <c r="C59" s="24">
        <f>C48/C$49</f>
        <v>2.3144853038091471E-2</v>
      </c>
      <c r="D59" s="24">
        <f t="shared" ref="D59:F59" si="69">D48/D$49</f>
        <v>9.6451620529065512E-3</v>
      </c>
      <c r="E59" s="177">
        <f t="shared" ref="E59:G59" si="70">E48/E$49</f>
        <v>1.6027718231217906E-2</v>
      </c>
      <c r="F59" s="24">
        <f t="shared" si="69"/>
        <v>1.0947452229299362E-2</v>
      </c>
      <c r="G59" s="177">
        <f t="shared" si="70"/>
        <v>1.4332215099478527E-2</v>
      </c>
      <c r="H59" s="24">
        <f>H48/H$49</f>
        <v>1.5677065861567707E-2</v>
      </c>
      <c r="I59" s="25">
        <f t="shared" ref="I59:U59" si="71">I48/I$49</f>
        <v>1.4696354068897865E-2</v>
      </c>
      <c r="J59" s="24">
        <f t="shared" si="71"/>
        <v>9.0884730472064676E-3</v>
      </c>
      <c r="K59" s="24">
        <f t="shared" si="71"/>
        <v>1.6137087746491002E-2</v>
      </c>
      <c r="L59" s="177">
        <f t="shared" si="71"/>
        <v>1.3067955312259958E-2</v>
      </c>
      <c r="M59" s="24">
        <f t="shared" si="71"/>
        <v>1.5803433871761884E-2</v>
      </c>
      <c r="N59" s="177">
        <f t="shared" si="71"/>
        <v>1.4106677603010711E-2</v>
      </c>
      <c r="O59" s="24">
        <f t="shared" si="71"/>
        <v>2.4275213729139721E-2</v>
      </c>
      <c r="P59" s="25">
        <f t="shared" si="71"/>
        <v>1.6919277854855457E-2</v>
      </c>
      <c r="Q59" s="24">
        <f t="shared" si="71"/>
        <v>2.8395451674036638E-2</v>
      </c>
      <c r="R59" s="24">
        <f t="shared" si="71"/>
        <v>2.0009635942063897E-2</v>
      </c>
      <c r="S59" s="177">
        <f t="shared" si="71"/>
        <v>2.4102421803943331E-2</v>
      </c>
      <c r="T59" s="24">
        <f t="shared" si="71"/>
        <v>2.0098078623683575E-2</v>
      </c>
      <c r="U59" s="177">
        <f t="shared" si="71"/>
        <v>2.2804832936493463E-2</v>
      </c>
      <c r="V59" s="24">
        <f t="shared" ref="V59:X59" si="72">V48/V$49</f>
        <v>1.3743332287417634E-2</v>
      </c>
      <c r="W59" s="25">
        <f t="shared" si="72"/>
        <v>2.054577526762701E-2</v>
      </c>
      <c r="X59" s="24">
        <f t="shared" si="72"/>
        <v>1.5231573839434949E-2</v>
      </c>
      <c r="Y59" s="24">
        <f>Y48/Y$49</f>
        <v>2.3788347426690209E-2</v>
      </c>
      <c r="Z59" s="177">
        <f>Z48/Z$49</f>
        <v>1.9542666818263901E-2</v>
      </c>
      <c r="AA59" s="20"/>
    </row>
    <row r="60" spans="1:27" x14ac:dyDescent="0.35">
      <c r="V60" s="3"/>
      <c r="W60" s="3"/>
      <c r="AA60" s="20"/>
    </row>
    <row r="61" spans="1:27" ht="15" thickBot="1" x14ac:dyDescent="0.4">
      <c r="V61" s="3"/>
      <c r="W61" s="3"/>
      <c r="Y61" s="353"/>
      <c r="Z61" s="353"/>
      <c r="AA61" s="20"/>
    </row>
    <row r="62" spans="1:27" ht="15" thickBot="1" x14ac:dyDescent="0.4">
      <c r="A62" s="282" t="s">
        <v>675</v>
      </c>
      <c r="B62" s="282" t="s">
        <v>675</v>
      </c>
      <c r="C62" s="101" t="s">
        <v>49</v>
      </c>
      <c r="D62" s="101" t="s">
        <v>50</v>
      </c>
      <c r="E62" s="101" t="s">
        <v>153</v>
      </c>
      <c r="F62" s="101" t="s">
        <v>51</v>
      </c>
      <c r="G62" s="101" t="s">
        <v>154</v>
      </c>
      <c r="H62" s="101" t="s">
        <v>52</v>
      </c>
      <c r="I62" s="101">
        <v>2021</v>
      </c>
      <c r="J62" s="101" t="s">
        <v>53</v>
      </c>
      <c r="K62" s="101" t="s">
        <v>54</v>
      </c>
      <c r="L62" s="101" t="s">
        <v>155</v>
      </c>
      <c r="M62" s="101" t="s">
        <v>55</v>
      </c>
      <c r="N62" s="101" t="s">
        <v>156</v>
      </c>
      <c r="O62" s="101" t="s">
        <v>56</v>
      </c>
      <c r="P62" s="101">
        <v>2022</v>
      </c>
      <c r="Q62" s="101" t="s">
        <v>57</v>
      </c>
      <c r="R62" s="101" t="s">
        <v>58</v>
      </c>
      <c r="S62" s="101" t="s">
        <v>159</v>
      </c>
      <c r="T62" s="101" t="s">
        <v>59</v>
      </c>
      <c r="U62" s="101" t="s">
        <v>160</v>
      </c>
      <c r="V62" s="101" t="s">
        <v>60</v>
      </c>
      <c r="W62" s="101">
        <v>2023</v>
      </c>
      <c r="X62" s="101" t="s">
        <v>61</v>
      </c>
      <c r="Y62" s="101" t="s">
        <v>1166</v>
      </c>
      <c r="Z62" s="101" t="s">
        <v>1167</v>
      </c>
    </row>
    <row r="63" spans="1:27" ht="15" thickTop="1" x14ac:dyDescent="0.35">
      <c r="A63" s="283" t="s">
        <v>698</v>
      </c>
      <c r="B63" s="284" t="s">
        <v>699</v>
      </c>
      <c r="C63" s="91" t="s">
        <v>62</v>
      </c>
      <c r="D63" s="91" t="s">
        <v>62</v>
      </c>
      <c r="E63" s="91" t="s">
        <v>62</v>
      </c>
      <c r="F63" s="91" t="s">
        <v>62</v>
      </c>
      <c r="G63" s="91" t="s">
        <v>62</v>
      </c>
      <c r="H63" s="91" t="s">
        <v>62</v>
      </c>
      <c r="I63" s="91" t="s">
        <v>62</v>
      </c>
      <c r="J63" s="91" t="s">
        <v>62</v>
      </c>
      <c r="K63" s="91" t="s">
        <v>62</v>
      </c>
      <c r="L63" s="91" t="s">
        <v>62</v>
      </c>
      <c r="M63" s="91" t="s">
        <v>62</v>
      </c>
      <c r="N63" s="91" t="s">
        <v>62</v>
      </c>
      <c r="O63" s="91" t="s">
        <v>62</v>
      </c>
      <c r="P63" s="91" t="s">
        <v>62</v>
      </c>
      <c r="Q63" s="91" t="s">
        <v>62</v>
      </c>
      <c r="R63" s="91" t="s">
        <v>62</v>
      </c>
      <c r="S63" s="91" t="s">
        <v>62</v>
      </c>
      <c r="T63" s="91" t="s">
        <v>62</v>
      </c>
      <c r="U63" s="91" t="s">
        <v>62</v>
      </c>
      <c r="V63" s="91" t="s">
        <v>62</v>
      </c>
      <c r="W63" s="91" t="s">
        <v>62</v>
      </c>
      <c r="X63" s="91" t="s">
        <v>62</v>
      </c>
      <c r="Y63" s="91" t="s">
        <v>62</v>
      </c>
      <c r="Z63" s="91" t="s">
        <v>62</v>
      </c>
    </row>
    <row r="64" spans="1:27" x14ac:dyDescent="0.35">
      <c r="A64" s="34" t="s">
        <v>700</v>
      </c>
      <c r="B64" s="34" t="s">
        <v>700</v>
      </c>
      <c r="C64" s="8">
        <v>24723</v>
      </c>
      <c r="D64" s="8">
        <f>E64-C64</f>
        <v>27125</v>
      </c>
      <c r="E64" s="174">
        <v>51848</v>
      </c>
      <c r="F64" s="8">
        <f>G64-E64</f>
        <v>24293</v>
      </c>
      <c r="G64" s="174">
        <v>76141</v>
      </c>
      <c r="H64" s="8">
        <f>I64-G64</f>
        <v>27219</v>
      </c>
      <c r="I64" s="9">
        <v>103360</v>
      </c>
      <c r="J64" s="8">
        <v>25151</v>
      </c>
      <c r="K64" s="8">
        <f>L64-J64</f>
        <v>33547</v>
      </c>
      <c r="L64" s="174">
        <v>58698</v>
      </c>
      <c r="M64" s="8">
        <f>N64-L64</f>
        <v>40026</v>
      </c>
      <c r="N64" s="174">
        <v>98724</v>
      </c>
      <c r="O64" s="8">
        <f>P64-N64</f>
        <v>30296</v>
      </c>
      <c r="P64" s="9">
        <v>129020</v>
      </c>
      <c r="Q64" s="8">
        <v>36664</v>
      </c>
      <c r="R64" s="8">
        <f>S64-Q64</f>
        <v>34600</v>
      </c>
      <c r="S64" s="174">
        <v>71264</v>
      </c>
      <c r="T64" s="8">
        <f>U64-S64</f>
        <v>35521</v>
      </c>
      <c r="U64" s="174">
        <v>106785</v>
      </c>
      <c r="V64" s="18">
        <f>W64-U64</f>
        <v>30327</v>
      </c>
      <c r="W64" s="19">
        <v>137112</v>
      </c>
      <c r="X64" s="8">
        <v>38948</v>
      </c>
      <c r="Y64" s="8">
        <f>Z64-X64</f>
        <v>39727</v>
      </c>
      <c r="Z64" s="174">
        <v>78675</v>
      </c>
    </row>
    <row r="65" spans="1:27" x14ac:dyDescent="0.35">
      <c r="A65" s="118" t="s">
        <v>701</v>
      </c>
      <c r="B65" s="118" t="s">
        <v>702</v>
      </c>
      <c r="C65" s="8">
        <v>0</v>
      </c>
      <c r="D65" s="8">
        <v>102</v>
      </c>
      <c r="E65" s="174">
        <f>C65+D65</f>
        <v>102</v>
      </c>
      <c r="F65" s="8">
        <v>136</v>
      </c>
      <c r="G65" s="174">
        <f>E65+F65</f>
        <v>238</v>
      </c>
      <c r="H65" s="8">
        <v>525</v>
      </c>
      <c r="I65" s="9">
        <f>G65+H65</f>
        <v>763</v>
      </c>
      <c r="J65" s="8">
        <v>909</v>
      </c>
      <c r="K65" s="8">
        <v>1271</v>
      </c>
      <c r="L65" s="174">
        <v>2180</v>
      </c>
      <c r="M65" s="8">
        <v>1664</v>
      </c>
      <c r="N65" s="174">
        <v>3844</v>
      </c>
      <c r="O65" s="8">
        <v>2446</v>
      </c>
      <c r="P65" s="9">
        <v>6290</v>
      </c>
      <c r="Q65" s="8">
        <v>2194</v>
      </c>
      <c r="R65" s="8">
        <v>3046</v>
      </c>
      <c r="S65" s="174">
        <v>5240</v>
      </c>
      <c r="T65" s="8">
        <v>2921</v>
      </c>
      <c r="U65" s="174">
        <v>8161</v>
      </c>
      <c r="V65" s="8">
        <f>+W65-U65</f>
        <v>3787</v>
      </c>
      <c r="W65" s="9">
        <v>11948</v>
      </c>
      <c r="X65" s="8">
        <v>3664</v>
      </c>
      <c r="Y65" s="8">
        <f t="shared" ref="Y65:Y70" si="73">Z65-X65</f>
        <v>4098</v>
      </c>
      <c r="Z65" s="174">
        <v>7762</v>
      </c>
    </row>
    <row r="66" spans="1:27" x14ac:dyDescent="0.35">
      <c r="A66" s="34" t="s">
        <v>704</v>
      </c>
      <c r="B66" s="34" t="s">
        <v>704</v>
      </c>
      <c r="C66" s="8">
        <v>3373</v>
      </c>
      <c r="D66" s="8">
        <v>2556</v>
      </c>
      <c r="E66" s="174">
        <v>5929</v>
      </c>
      <c r="F66" s="8">
        <v>3775</v>
      </c>
      <c r="G66" s="174">
        <v>9704</v>
      </c>
      <c r="H66" s="8">
        <v>3808</v>
      </c>
      <c r="I66" s="9">
        <v>13512</v>
      </c>
      <c r="J66" s="8">
        <v>5291</v>
      </c>
      <c r="K66" s="8">
        <v>6510</v>
      </c>
      <c r="L66" s="174">
        <v>11801</v>
      </c>
      <c r="M66" s="8">
        <v>7916</v>
      </c>
      <c r="N66" s="174">
        <v>19717</v>
      </c>
      <c r="O66" s="8">
        <v>9042</v>
      </c>
      <c r="P66" s="9">
        <v>28759</v>
      </c>
      <c r="Q66" s="8">
        <v>7137</v>
      </c>
      <c r="R66" s="8">
        <v>7567</v>
      </c>
      <c r="S66" s="174">
        <v>14704</v>
      </c>
      <c r="T66" s="8">
        <v>8752</v>
      </c>
      <c r="U66" s="174">
        <v>23456</v>
      </c>
      <c r="V66" s="8">
        <f>+W66-U66</f>
        <v>6689.0999999999985</v>
      </c>
      <c r="W66" s="9">
        <v>30145.1</v>
      </c>
      <c r="X66" s="8">
        <v>7671</v>
      </c>
      <c r="Y66" s="8">
        <f t="shared" si="73"/>
        <v>9938</v>
      </c>
      <c r="Z66" s="174">
        <v>17609</v>
      </c>
      <c r="AA66" s="20"/>
    </row>
    <row r="67" spans="1:27" x14ac:dyDescent="0.35">
      <c r="A67" s="34" t="s">
        <v>703</v>
      </c>
      <c r="B67" s="34" t="s">
        <v>703</v>
      </c>
      <c r="C67" s="8">
        <v>5255</v>
      </c>
      <c r="D67" s="8">
        <v>5170</v>
      </c>
      <c r="E67" s="174">
        <v>10425</v>
      </c>
      <c r="F67" s="8">
        <v>4558</v>
      </c>
      <c r="G67" s="174">
        <v>14983</v>
      </c>
      <c r="H67" s="8">
        <v>4646</v>
      </c>
      <c r="I67" s="9">
        <v>19629</v>
      </c>
      <c r="J67" s="8">
        <v>5772</v>
      </c>
      <c r="K67" s="8">
        <v>5423</v>
      </c>
      <c r="L67" s="174">
        <v>11195</v>
      </c>
      <c r="M67" s="8">
        <v>4454</v>
      </c>
      <c r="N67" s="174">
        <v>15649</v>
      </c>
      <c r="O67" s="8">
        <v>5978</v>
      </c>
      <c r="P67" s="9">
        <v>21627</v>
      </c>
      <c r="Q67" s="8">
        <v>6147</v>
      </c>
      <c r="R67" s="8">
        <v>6210</v>
      </c>
      <c r="S67" s="174">
        <v>12357</v>
      </c>
      <c r="T67" s="8">
        <v>4334</v>
      </c>
      <c r="U67" s="174">
        <v>16691</v>
      </c>
      <c r="V67" s="8">
        <f>+W67-U67</f>
        <v>5304.9000000000015</v>
      </c>
      <c r="W67" s="9">
        <v>21995.9</v>
      </c>
      <c r="X67" s="8">
        <v>5344</v>
      </c>
      <c r="Y67" s="8">
        <f t="shared" si="73"/>
        <v>4105</v>
      </c>
      <c r="Z67" s="174">
        <v>9449</v>
      </c>
    </row>
    <row r="68" spans="1:27" x14ac:dyDescent="0.35">
      <c r="A68" s="34" t="s">
        <v>706</v>
      </c>
      <c r="B68" s="34" t="s">
        <v>706</v>
      </c>
      <c r="C68" s="8">
        <v>0</v>
      </c>
      <c r="D68" s="8">
        <v>0</v>
      </c>
      <c r="E68" s="174">
        <v>0</v>
      </c>
      <c r="F68" s="8">
        <v>62</v>
      </c>
      <c r="G68" s="174">
        <f>E68+F68</f>
        <v>62</v>
      </c>
      <c r="H68" s="8">
        <v>234</v>
      </c>
      <c r="I68" s="9">
        <f>G68+H68</f>
        <v>296</v>
      </c>
      <c r="J68" s="8">
        <v>233</v>
      </c>
      <c r="K68" s="8">
        <v>464</v>
      </c>
      <c r="L68" s="174">
        <v>697</v>
      </c>
      <c r="M68" s="8">
        <v>549</v>
      </c>
      <c r="N68" s="174">
        <v>1246</v>
      </c>
      <c r="O68" s="8">
        <v>767</v>
      </c>
      <c r="P68" s="9">
        <v>2013</v>
      </c>
      <c r="Q68" s="8">
        <v>1084</v>
      </c>
      <c r="R68" s="8">
        <v>1319</v>
      </c>
      <c r="S68" s="174">
        <v>2403</v>
      </c>
      <c r="T68" s="8">
        <v>1731</v>
      </c>
      <c r="U68" s="174">
        <v>4134</v>
      </c>
      <c r="V68" s="8">
        <f>+W68-U68</f>
        <v>2436.8999999999996</v>
      </c>
      <c r="W68" s="9">
        <v>6570.9</v>
      </c>
      <c r="X68" s="8">
        <v>3204</v>
      </c>
      <c r="Y68" s="8">
        <f t="shared" si="73"/>
        <v>3886</v>
      </c>
      <c r="Z68" s="174">
        <v>7090</v>
      </c>
      <c r="AA68" s="20"/>
    </row>
    <row r="69" spans="1:27" x14ac:dyDescent="0.35">
      <c r="A69" s="34" t="s">
        <v>707</v>
      </c>
      <c r="B69" s="34" t="s">
        <v>707</v>
      </c>
      <c r="C69" s="8">
        <v>722</v>
      </c>
      <c r="D69" s="8">
        <f>E69-C69</f>
        <v>859</v>
      </c>
      <c r="E69" s="174">
        <v>1581</v>
      </c>
      <c r="F69" s="8">
        <f>G69-E69</f>
        <v>1015</v>
      </c>
      <c r="G69" s="174">
        <v>2596</v>
      </c>
      <c r="H69" s="8">
        <f>I69-G69</f>
        <v>991</v>
      </c>
      <c r="I69" s="9">
        <v>3587</v>
      </c>
      <c r="J69" s="8">
        <v>1188</v>
      </c>
      <c r="K69" s="8">
        <f>L69-J69</f>
        <v>1400</v>
      </c>
      <c r="L69" s="174">
        <v>2588</v>
      </c>
      <c r="M69" s="8">
        <f>N69-L69</f>
        <v>1543</v>
      </c>
      <c r="N69" s="174">
        <v>4131</v>
      </c>
      <c r="O69" s="8">
        <f>P69-N69</f>
        <v>1744</v>
      </c>
      <c r="P69" s="9">
        <v>5875</v>
      </c>
      <c r="Q69" s="8">
        <v>1599</v>
      </c>
      <c r="R69" s="8">
        <f>S69-Q69</f>
        <v>1728</v>
      </c>
      <c r="S69" s="174">
        <v>3327</v>
      </c>
      <c r="T69" s="8">
        <f>U69-S69</f>
        <v>1816</v>
      </c>
      <c r="U69" s="174">
        <v>5143</v>
      </c>
      <c r="V69" s="8">
        <f>W69-U69</f>
        <v>2343</v>
      </c>
      <c r="W69" s="9">
        <v>7486</v>
      </c>
      <c r="X69" s="347">
        <v>2298</v>
      </c>
      <c r="Y69" s="8">
        <f t="shared" si="73"/>
        <v>2785</v>
      </c>
      <c r="Z69" s="174">
        <v>5083</v>
      </c>
      <c r="AA69" s="20"/>
    </row>
    <row r="70" spans="1:27" x14ac:dyDescent="0.35">
      <c r="A70" s="34" t="s">
        <v>705</v>
      </c>
      <c r="B70" s="34" t="s">
        <v>705</v>
      </c>
      <c r="C70" s="8">
        <v>665</v>
      </c>
      <c r="D70" s="8">
        <f>E70-C70</f>
        <v>763</v>
      </c>
      <c r="E70" s="174">
        <v>1428</v>
      </c>
      <c r="F70" s="8">
        <f>G70-E70</f>
        <v>585</v>
      </c>
      <c r="G70" s="174">
        <v>2013</v>
      </c>
      <c r="H70" s="8">
        <f>I70-G70</f>
        <v>761</v>
      </c>
      <c r="I70" s="9">
        <v>2774</v>
      </c>
      <c r="J70" s="8">
        <v>969</v>
      </c>
      <c r="K70" s="8">
        <f>L70-J70</f>
        <v>1040</v>
      </c>
      <c r="L70" s="174">
        <v>2009</v>
      </c>
      <c r="M70" s="8">
        <f>N70-L70</f>
        <v>957</v>
      </c>
      <c r="N70" s="174">
        <v>2966</v>
      </c>
      <c r="O70" s="8">
        <f>P70-N70</f>
        <v>1207</v>
      </c>
      <c r="P70" s="9">
        <v>4173</v>
      </c>
      <c r="Q70" s="8">
        <v>1469</v>
      </c>
      <c r="R70" s="8">
        <v>1443</v>
      </c>
      <c r="S70" s="174">
        <v>2912</v>
      </c>
      <c r="T70" s="8">
        <v>1208</v>
      </c>
      <c r="U70" s="174">
        <v>4120</v>
      </c>
      <c r="V70" s="8">
        <f>W70-U70</f>
        <v>1837</v>
      </c>
      <c r="W70" s="9">
        <v>5957</v>
      </c>
      <c r="X70" s="8">
        <v>1580</v>
      </c>
      <c r="Y70" s="8">
        <f t="shared" si="73"/>
        <v>2022</v>
      </c>
      <c r="Z70" s="174">
        <v>3602</v>
      </c>
      <c r="AA70" s="20"/>
    </row>
    <row r="71" spans="1:27" x14ac:dyDescent="0.35">
      <c r="A71" s="11" t="s">
        <v>708</v>
      </c>
      <c r="B71" s="11" t="s">
        <v>64</v>
      </c>
      <c r="C71" s="12">
        <f t="shared" ref="C71:T71" si="74">C64+SUM(C66:C70)</f>
        <v>34738</v>
      </c>
      <c r="D71" s="12">
        <f t="shared" si="74"/>
        <v>36473</v>
      </c>
      <c r="E71" s="173">
        <f t="shared" si="74"/>
        <v>71211</v>
      </c>
      <c r="F71" s="12">
        <f t="shared" si="74"/>
        <v>34288</v>
      </c>
      <c r="G71" s="173">
        <f t="shared" si="74"/>
        <v>105499</v>
      </c>
      <c r="H71" s="12">
        <f t="shared" si="74"/>
        <v>37659</v>
      </c>
      <c r="I71" s="13">
        <f t="shared" si="74"/>
        <v>143158</v>
      </c>
      <c r="J71" s="12">
        <f t="shared" si="74"/>
        <v>38604</v>
      </c>
      <c r="K71" s="12">
        <f t="shared" si="74"/>
        <v>48384</v>
      </c>
      <c r="L71" s="173">
        <f t="shared" si="74"/>
        <v>86988</v>
      </c>
      <c r="M71" s="12">
        <f t="shared" si="74"/>
        <v>55445</v>
      </c>
      <c r="N71" s="173">
        <f t="shared" si="74"/>
        <v>142433</v>
      </c>
      <c r="O71" s="12">
        <f t="shared" si="74"/>
        <v>49034</v>
      </c>
      <c r="P71" s="13">
        <f t="shared" si="74"/>
        <v>191467</v>
      </c>
      <c r="Q71" s="12">
        <f t="shared" si="74"/>
        <v>54100</v>
      </c>
      <c r="R71" s="12">
        <f t="shared" si="74"/>
        <v>52867</v>
      </c>
      <c r="S71" s="173">
        <f t="shared" si="74"/>
        <v>106967</v>
      </c>
      <c r="T71" s="12">
        <f t="shared" si="74"/>
        <v>53362</v>
      </c>
      <c r="U71" s="173">
        <f>U64+SUM(U66:U70)</f>
        <v>160329</v>
      </c>
      <c r="V71" s="12">
        <f>V64+SUM(V66:V70)</f>
        <v>48937.9</v>
      </c>
      <c r="W71" s="13">
        <f>W64+SUM(W66:W70)</f>
        <v>209266.9</v>
      </c>
      <c r="X71" s="12">
        <f>X64+SUM(X66:X70)</f>
        <v>59045</v>
      </c>
      <c r="Y71" s="12">
        <f>Z71-X71</f>
        <v>62463</v>
      </c>
      <c r="Z71" s="173">
        <f>Z64+SUM(Z66:Z70)</f>
        <v>121508</v>
      </c>
      <c r="AA71" s="20"/>
    </row>
    <row r="72" spans="1:27" x14ac:dyDescent="0.35">
      <c r="A72" s="34" t="s">
        <v>709</v>
      </c>
      <c r="B72" s="34" t="s">
        <v>710</v>
      </c>
      <c r="C72" s="24">
        <f t="shared" ref="C72:X72" si="75">C71/C8</f>
        <v>0.91572426519045735</v>
      </c>
      <c r="D72" s="24">
        <f t="shared" si="75"/>
        <v>0.86220509668573586</v>
      </c>
      <c r="E72" s="177">
        <f t="shared" si="75"/>
        <v>0.88750825678926182</v>
      </c>
      <c r="F72" s="24">
        <f t="shared" si="75"/>
        <v>0.85314754914157753</v>
      </c>
      <c r="G72" s="177">
        <f t="shared" si="75"/>
        <v>0.87604108713162332</v>
      </c>
      <c r="H72" s="24">
        <f t="shared" si="75"/>
        <v>0.842181769389033</v>
      </c>
      <c r="I72" s="25">
        <f t="shared" si="75"/>
        <v>0.86687295253204799</v>
      </c>
      <c r="J72" s="24">
        <f t="shared" si="75"/>
        <v>0.86204278504756371</v>
      </c>
      <c r="K72" s="24">
        <f t="shared" si="75"/>
        <v>0.83325870561085658</v>
      </c>
      <c r="L72" s="177">
        <f t="shared" si="75"/>
        <v>0.84579184816428132</v>
      </c>
      <c r="M72" s="24">
        <f t="shared" si="75"/>
        <v>0.88063850063532401</v>
      </c>
      <c r="N72" s="177">
        <f t="shared" si="75"/>
        <v>0.85902369005114354</v>
      </c>
      <c r="O72" s="24">
        <f t="shared" si="75"/>
        <v>0.77343133852802926</v>
      </c>
      <c r="P72" s="25">
        <f t="shared" si="75"/>
        <v>0.83534898737380348</v>
      </c>
      <c r="Q72" s="24">
        <f t="shared" si="75"/>
        <v>0.85439039797852179</v>
      </c>
      <c r="R72" s="24">
        <f t="shared" si="75"/>
        <v>0.79597398295642752</v>
      </c>
      <c r="S72" s="177">
        <f t="shared" si="75"/>
        <v>0.82448473076508044</v>
      </c>
      <c r="T72" s="24">
        <f t="shared" si="75"/>
        <v>0.85797893721360241</v>
      </c>
      <c r="U72" s="177">
        <f t="shared" si="75"/>
        <v>0.83533837328651139</v>
      </c>
      <c r="V72" s="24">
        <f t="shared" si="75"/>
        <v>0.76777376843426426</v>
      </c>
      <c r="W72" s="25">
        <f>W71/W8</f>
        <v>0.81849432673766875</v>
      </c>
      <c r="X72" s="24">
        <f t="shared" si="75"/>
        <v>0.79588343128268724</v>
      </c>
      <c r="Y72" s="24">
        <f>Y71/Y8</f>
        <v>0.8291805498400393</v>
      </c>
      <c r="Z72" s="177">
        <f>Z71/Z8</f>
        <v>0.81265926069596506</v>
      </c>
      <c r="AA72" s="20"/>
    </row>
    <row r="73" spans="1:27" x14ac:dyDescent="0.35">
      <c r="C73" s="20"/>
      <c r="AA73" s="20"/>
    </row>
  </sheetData>
  <mergeCells count="2">
    <mergeCell ref="B2:B3"/>
    <mergeCell ref="A2:A3"/>
  </mergeCells>
  <pageMargins left="0.7" right="0.7" top="0.75" bottom="0.75" header="0.3" footer="0.3"/>
  <pageSetup paperSize="9" orientation="portrait" r:id="rId1"/>
  <ignoredErrors>
    <ignoredError sqref="E10:U10 E16:U16 V70"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D645E-861B-450C-9BCA-A5D4E13CDA60}">
  <sheetPr>
    <tabColor rgb="FF0070C0"/>
  </sheetPr>
  <dimension ref="A1:AA51"/>
  <sheetViews>
    <sheetView zoomScale="86" zoomScaleNormal="86" workbookViewId="0">
      <pane xSplit="2" topLeftCell="N1" activePane="topRight" state="frozen"/>
      <selection activeCell="A31" sqref="A31"/>
      <selection pane="topRight" activeCell="Z33" sqref="Z33"/>
    </sheetView>
  </sheetViews>
  <sheetFormatPr defaultRowHeight="14.5" x14ac:dyDescent="0.35"/>
  <cols>
    <col min="1" max="1" width="46.1796875" customWidth="1"/>
    <col min="2" max="2" width="42.81640625" customWidth="1"/>
    <col min="3" max="26" width="13.453125" customWidth="1"/>
  </cols>
  <sheetData>
    <row r="1" spans="1:26" ht="31.5" customHeight="1" thickBot="1" x14ac:dyDescent="0.65">
      <c r="A1" s="39"/>
      <c r="B1" s="39"/>
      <c r="I1" s="189"/>
      <c r="N1" s="39"/>
      <c r="O1" s="39"/>
      <c r="P1" s="189"/>
      <c r="R1" s="39"/>
      <c r="Y1" s="431"/>
      <c r="Z1" s="353"/>
    </row>
    <row r="2" spans="1:26" ht="15.75" customHeight="1" thickBot="1" x14ac:dyDescent="0.4">
      <c r="A2" s="507" t="s">
        <v>652</v>
      </c>
      <c r="B2" s="506" t="s">
        <v>653</v>
      </c>
      <c r="C2" s="101" t="s">
        <v>49</v>
      </c>
      <c r="D2" s="101" t="s">
        <v>50</v>
      </c>
      <c r="E2" s="101" t="s">
        <v>153</v>
      </c>
      <c r="F2" s="101" t="s">
        <v>51</v>
      </c>
      <c r="G2" s="101" t="s">
        <v>154</v>
      </c>
      <c r="H2" s="101" t="s">
        <v>52</v>
      </c>
      <c r="I2" s="101">
        <v>2021</v>
      </c>
      <c r="J2" s="101" t="s">
        <v>53</v>
      </c>
      <c r="K2" s="101" t="s">
        <v>54</v>
      </c>
      <c r="L2" s="101" t="s">
        <v>155</v>
      </c>
      <c r="M2" s="101" t="s">
        <v>55</v>
      </c>
      <c r="N2" s="101" t="s">
        <v>156</v>
      </c>
      <c r="O2" s="101" t="s">
        <v>56</v>
      </c>
      <c r="P2" s="101">
        <v>2022</v>
      </c>
      <c r="Q2" s="101" t="s">
        <v>57</v>
      </c>
      <c r="R2" s="101" t="s">
        <v>58</v>
      </c>
      <c r="S2" s="101" t="s">
        <v>159</v>
      </c>
      <c r="T2" s="101" t="s">
        <v>59</v>
      </c>
      <c r="U2" s="101" t="s">
        <v>160</v>
      </c>
      <c r="V2" s="101" t="s">
        <v>60</v>
      </c>
      <c r="W2" s="101">
        <v>2023</v>
      </c>
      <c r="X2" s="101" t="s">
        <v>61</v>
      </c>
      <c r="Y2" s="101" t="s">
        <v>1166</v>
      </c>
      <c r="Z2" s="101" t="s">
        <v>1167</v>
      </c>
    </row>
    <row r="3" spans="1:26" ht="15.75" customHeight="1" thickTop="1" x14ac:dyDescent="0.35">
      <c r="A3" s="507"/>
      <c r="B3" s="506"/>
      <c r="C3" s="91" t="s">
        <v>62</v>
      </c>
      <c r="D3" s="91" t="s">
        <v>62</v>
      </c>
      <c r="E3" s="91" t="s">
        <v>62</v>
      </c>
      <c r="F3" s="91" t="s">
        <v>62</v>
      </c>
      <c r="G3" s="91" t="s">
        <v>62</v>
      </c>
      <c r="H3" s="91" t="s">
        <v>62</v>
      </c>
      <c r="I3" s="91" t="s">
        <v>62</v>
      </c>
      <c r="J3" s="91" t="s">
        <v>62</v>
      </c>
      <c r="K3" s="91" t="s">
        <v>62</v>
      </c>
      <c r="L3" s="91" t="s">
        <v>62</v>
      </c>
      <c r="M3" s="91" t="s">
        <v>62</v>
      </c>
      <c r="N3" s="91" t="s">
        <v>62</v>
      </c>
      <c r="O3" s="91" t="s">
        <v>62</v>
      </c>
      <c r="P3" s="91" t="s">
        <v>62</v>
      </c>
      <c r="Q3" s="91" t="s">
        <v>62</v>
      </c>
      <c r="R3" s="91" t="s">
        <v>62</v>
      </c>
      <c r="S3" s="91" t="s">
        <v>62</v>
      </c>
      <c r="T3" s="91" t="s">
        <v>62</v>
      </c>
      <c r="U3" s="91" t="s">
        <v>62</v>
      </c>
      <c r="V3" s="91" t="s">
        <v>62</v>
      </c>
      <c r="W3" s="91" t="s">
        <v>62</v>
      </c>
      <c r="X3" s="91" t="s">
        <v>62</v>
      </c>
      <c r="Y3" s="91" t="s">
        <v>62</v>
      </c>
      <c r="Z3" s="91" t="s">
        <v>62</v>
      </c>
    </row>
    <row r="4" spans="1:26" ht="15.75" customHeight="1" x14ac:dyDescent="0.35">
      <c r="A4" s="103" t="s">
        <v>63</v>
      </c>
      <c r="B4" s="92" t="s">
        <v>64</v>
      </c>
      <c r="C4" s="93">
        <v>112069</v>
      </c>
      <c r="D4" s="93">
        <v>125279</v>
      </c>
      <c r="E4" s="185">
        <f>C4+D4</f>
        <v>237348</v>
      </c>
      <c r="F4" s="93">
        <v>126367</v>
      </c>
      <c r="G4" s="185">
        <f>E4+F4</f>
        <v>363715</v>
      </c>
      <c r="H4" s="93">
        <v>141304</v>
      </c>
      <c r="I4" s="94">
        <v>505019</v>
      </c>
      <c r="J4" s="93">
        <v>135308</v>
      </c>
      <c r="K4" s="93">
        <v>157441</v>
      </c>
      <c r="L4" s="185">
        <f>J4+K4</f>
        <v>292749</v>
      </c>
      <c r="M4" s="93">
        <v>180364</v>
      </c>
      <c r="N4" s="185">
        <f>L4+M4</f>
        <v>473113</v>
      </c>
      <c r="O4" s="93">
        <v>183230</v>
      </c>
      <c r="P4" s="94">
        <v>656343</v>
      </c>
      <c r="Q4" s="93">
        <v>177759</v>
      </c>
      <c r="R4" s="93">
        <v>184380</v>
      </c>
      <c r="S4" s="185">
        <f>Q4+R4</f>
        <v>362139</v>
      </c>
      <c r="T4" s="93">
        <v>185307</v>
      </c>
      <c r="U4" s="185">
        <f>S4+T4</f>
        <v>547446</v>
      </c>
      <c r="V4" s="93">
        <f>W4-U4</f>
        <v>200000</v>
      </c>
      <c r="W4" s="94">
        <v>747446</v>
      </c>
      <c r="X4" s="93">
        <f>'Business Unit Information'!AG4</f>
        <v>200125</v>
      </c>
      <c r="Y4" s="93">
        <f>Z4-X4</f>
        <v>213254</v>
      </c>
      <c r="Z4" s="185">
        <v>413379</v>
      </c>
    </row>
    <row r="5" spans="1:26" ht="15.75" customHeight="1" thickBot="1" x14ac:dyDescent="0.4">
      <c r="A5" s="103"/>
      <c r="B5" s="92"/>
      <c r="C5" s="93"/>
      <c r="D5" s="93"/>
      <c r="E5" s="93"/>
      <c r="F5" s="93"/>
      <c r="G5" s="93"/>
      <c r="H5" s="93"/>
      <c r="I5" s="93"/>
      <c r="J5" s="93"/>
      <c r="K5" s="93"/>
      <c r="L5" s="93"/>
      <c r="M5" s="93"/>
      <c r="N5" s="93"/>
      <c r="O5" s="93"/>
      <c r="P5" s="93"/>
      <c r="Q5" s="93"/>
      <c r="R5" s="93"/>
      <c r="S5" s="93"/>
      <c r="T5" s="93"/>
      <c r="U5" s="93"/>
      <c r="V5" s="93"/>
      <c r="W5" s="93"/>
      <c r="X5" s="93"/>
      <c r="Y5" s="93"/>
      <c r="Z5" s="93"/>
    </row>
    <row r="6" spans="1:26" ht="15" thickBot="1" x14ac:dyDescent="0.4">
      <c r="A6" s="282" t="s">
        <v>1114</v>
      </c>
      <c r="B6" s="282" t="s">
        <v>1115</v>
      </c>
      <c r="C6" s="101" t="s">
        <v>49</v>
      </c>
      <c r="D6" s="101" t="s">
        <v>50</v>
      </c>
      <c r="E6" s="101" t="s">
        <v>153</v>
      </c>
      <c r="F6" s="101" t="s">
        <v>51</v>
      </c>
      <c r="G6" s="101" t="s">
        <v>154</v>
      </c>
      <c r="H6" s="101" t="s">
        <v>52</v>
      </c>
      <c r="I6" s="101">
        <v>2021</v>
      </c>
      <c r="J6" s="101" t="s">
        <v>53</v>
      </c>
      <c r="K6" s="101" t="s">
        <v>54</v>
      </c>
      <c r="L6" s="101" t="s">
        <v>155</v>
      </c>
      <c r="M6" s="101" t="s">
        <v>55</v>
      </c>
      <c r="N6" s="101" t="s">
        <v>156</v>
      </c>
      <c r="O6" s="101" t="s">
        <v>56</v>
      </c>
      <c r="P6" s="101">
        <v>2022</v>
      </c>
      <c r="Q6" s="101" t="s">
        <v>57</v>
      </c>
      <c r="R6" s="101" t="s">
        <v>58</v>
      </c>
      <c r="S6" s="101" t="s">
        <v>159</v>
      </c>
      <c r="T6" s="101" t="s">
        <v>59</v>
      </c>
      <c r="U6" s="101" t="s">
        <v>160</v>
      </c>
      <c r="V6" s="101" t="s">
        <v>60</v>
      </c>
      <c r="W6" s="101">
        <v>2023</v>
      </c>
      <c r="X6" s="101" t="s">
        <v>61</v>
      </c>
      <c r="Y6" s="101" t="s">
        <v>1166</v>
      </c>
      <c r="Z6" s="101" t="s">
        <v>1167</v>
      </c>
    </row>
    <row r="7" spans="1:26" ht="15" thickTop="1" x14ac:dyDescent="0.35">
      <c r="A7" s="283" t="s">
        <v>711</v>
      </c>
      <c r="B7" s="284" t="s">
        <v>712</v>
      </c>
      <c r="C7" s="91" t="s">
        <v>62</v>
      </c>
      <c r="D7" s="91" t="s">
        <v>62</v>
      </c>
      <c r="E7" s="91" t="s">
        <v>62</v>
      </c>
      <c r="F7" s="91" t="s">
        <v>62</v>
      </c>
      <c r="G7" s="91" t="s">
        <v>62</v>
      </c>
      <c r="H7" s="91" t="s">
        <v>62</v>
      </c>
      <c r="I7" s="91" t="s">
        <v>62</v>
      </c>
      <c r="J7" s="91" t="s">
        <v>62</v>
      </c>
      <c r="K7" s="91" t="s">
        <v>62</v>
      </c>
      <c r="L7" s="91" t="s">
        <v>62</v>
      </c>
      <c r="M7" s="91" t="s">
        <v>62</v>
      </c>
      <c r="N7" s="91" t="s">
        <v>62</v>
      </c>
      <c r="O7" s="91" t="s">
        <v>62</v>
      </c>
      <c r="P7" s="91" t="s">
        <v>62</v>
      </c>
      <c r="Q7" s="91" t="s">
        <v>62</v>
      </c>
      <c r="R7" s="91" t="s">
        <v>62</v>
      </c>
      <c r="S7" s="91" t="s">
        <v>62</v>
      </c>
      <c r="T7" s="91" t="s">
        <v>62</v>
      </c>
      <c r="U7" s="91" t="s">
        <v>62</v>
      </c>
      <c r="V7" s="91" t="s">
        <v>62</v>
      </c>
      <c r="W7" s="91" t="s">
        <v>62</v>
      </c>
      <c r="X7" s="91" t="s">
        <v>62</v>
      </c>
      <c r="Y7" s="91" t="s">
        <v>62</v>
      </c>
      <c r="Z7" s="91" t="s">
        <v>62</v>
      </c>
    </row>
    <row r="8" spans="1:26" x14ac:dyDescent="0.35">
      <c r="A8" s="33" t="s">
        <v>63</v>
      </c>
      <c r="B8" s="33" t="s">
        <v>64</v>
      </c>
      <c r="C8" s="3">
        <v>5814</v>
      </c>
      <c r="D8" s="3">
        <v>9106</v>
      </c>
      <c r="E8" s="171">
        <f>C8+D8</f>
        <v>14920</v>
      </c>
      <c r="F8" s="3">
        <v>7364</v>
      </c>
      <c r="G8" s="171">
        <f>E8+F8</f>
        <v>22284</v>
      </c>
      <c r="H8" s="3">
        <v>9107</v>
      </c>
      <c r="I8" s="4">
        <f>G8+H8</f>
        <v>31391</v>
      </c>
      <c r="J8" s="3">
        <v>8875</v>
      </c>
      <c r="K8" s="3">
        <v>11028</v>
      </c>
      <c r="L8" s="171">
        <f>J8+K8</f>
        <v>19903</v>
      </c>
      <c r="M8" s="3">
        <v>9025</v>
      </c>
      <c r="N8" s="171">
        <f>L8+M8</f>
        <v>28928</v>
      </c>
      <c r="O8" s="3">
        <v>12257</v>
      </c>
      <c r="P8" s="4">
        <f>N8+O8</f>
        <v>41185</v>
      </c>
      <c r="Q8" s="3">
        <v>7858</v>
      </c>
      <c r="R8" s="3">
        <v>13447</v>
      </c>
      <c r="S8" s="171">
        <f>Q8+R8</f>
        <v>21305</v>
      </c>
      <c r="T8" s="3">
        <v>11502</v>
      </c>
      <c r="U8" s="171">
        <f>S8+T8</f>
        <v>32807</v>
      </c>
      <c r="V8" s="3">
        <f>W8-U8</f>
        <v>13394</v>
      </c>
      <c r="W8" s="4">
        <v>46201</v>
      </c>
      <c r="X8" s="3">
        <f>'Business Unit Information'!AG7</f>
        <v>11441</v>
      </c>
      <c r="Y8" s="3">
        <v>15080</v>
      </c>
      <c r="Z8" s="171">
        <f t="shared" ref="Z8:Z16" si="0">SUM(X8:Y8)</f>
        <v>26521</v>
      </c>
    </row>
    <row r="9" spans="1:26" x14ac:dyDescent="0.35">
      <c r="A9" s="34" t="s">
        <v>163</v>
      </c>
      <c r="B9" s="34" t="s">
        <v>164</v>
      </c>
      <c r="C9" s="8">
        <v>-8867</v>
      </c>
      <c r="D9" s="8">
        <v>-3694</v>
      </c>
      <c r="E9" s="174">
        <f t="shared" ref="E9:G16" si="1">C9+D9</f>
        <v>-12561</v>
      </c>
      <c r="F9" s="8">
        <v>-3672</v>
      </c>
      <c r="G9" s="174">
        <f t="shared" si="1"/>
        <v>-16233</v>
      </c>
      <c r="H9" s="8">
        <v>-3347</v>
      </c>
      <c r="I9" s="9">
        <f t="shared" ref="I9:I16" si="2">G9+H9</f>
        <v>-19580</v>
      </c>
      <c r="J9" s="6">
        <v>-10256</v>
      </c>
      <c r="K9" s="6">
        <v>-6391</v>
      </c>
      <c r="L9" s="174">
        <f t="shared" ref="L9:L16" si="3">J9+K9</f>
        <v>-16647</v>
      </c>
      <c r="M9" s="6">
        <v>-5641</v>
      </c>
      <c r="N9" s="174">
        <f t="shared" ref="N9:N16" si="4">L9+M9</f>
        <v>-22288</v>
      </c>
      <c r="O9" s="6">
        <v>-5539</v>
      </c>
      <c r="P9" s="9">
        <f t="shared" ref="P9:P16" si="5">N9+O9</f>
        <v>-27827</v>
      </c>
      <c r="Q9" s="6">
        <v>-6087</v>
      </c>
      <c r="R9" s="6">
        <v>-6809</v>
      </c>
      <c r="S9" s="174">
        <f t="shared" ref="S9:S16" si="6">Q9+R9</f>
        <v>-12896</v>
      </c>
      <c r="T9" s="6">
        <v>-7606</v>
      </c>
      <c r="U9" s="174">
        <f t="shared" ref="U9:U16" si="7">S9+T9</f>
        <v>-20502</v>
      </c>
      <c r="V9" s="6">
        <f t="shared" ref="V9:V16" si="8">W9-U9</f>
        <v>-8917</v>
      </c>
      <c r="W9" s="7">
        <v>-29419</v>
      </c>
      <c r="X9" s="355">
        <f>'Business Unit Information'!AG43</f>
        <v>-6510</v>
      </c>
      <c r="Y9" s="6">
        <v>-10289</v>
      </c>
      <c r="Z9" s="174">
        <f t="shared" si="0"/>
        <v>-16799</v>
      </c>
    </row>
    <row r="10" spans="1:26" x14ac:dyDescent="0.35">
      <c r="A10" s="35" t="s">
        <v>165</v>
      </c>
      <c r="B10" s="35" t="s">
        <v>68</v>
      </c>
      <c r="C10" s="116">
        <f t="shared" ref="C10:H10" si="9">SUM(C8:C9)</f>
        <v>-3053</v>
      </c>
      <c r="D10" s="12">
        <f t="shared" si="9"/>
        <v>5412</v>
      </c>
      <c r="E10" s="173">
        <f t="shared" si="9"/>
        <v>2359</v>
      </c>
      <c r="F10" s="12">
        <f t="shared" si="9"/>
        <v>3692</v>
      </c>
      <c r="G10" s="173">
        <f t="shared" ref="G10" si="10">SUM(G8:G9)</f>
        <v>6051</v>
      </c>
      <c r="H10" s="12">
        <f t="shared" si="9"/>
        <v>5760</v>
      </c>
      <c r="I10" s="13">
        <f t="shared" si="2"/>
        <v>11811</v>
      </c>
      <c r="J10" s="140">
        <f>SUM(J8:J9)</f>
        <v>-1381</v>
      </c>
      <c r="K10" s="12">
        <f t="shared" ref="K10:O10" si="11">SUM(K8:K9)</f>
        <v>4637</v>
      </c>
      <c r="L10" s="173">
        <f t="shared" si="11"/>
        <v>3256</v>
      </c>
      <c r="M10" s="12">
        <f t="shared" si="11"/>
        <v>3384</v>
      </c>
      <c r="N10" s="173">
        <f t="shared" si="11"/>
        <v>6640</v>
      </c>
      <c r="O10" s="12">
        <f t="shared" si="11"/>
        <v>6718</v>
      </c>
      <c r="P10" s="13">
        <f t="shared" si="5"/>
        <v>13358</v>
      </c>
      <c r="Q10" s="12">
        <f>SUM(Q8:Q9)</f>
        <v>1771</v>
      </c>
      <c r="R10" s="12">
        <f>SUM(R8:R9)</f>
        <v>6638</v>
      </c>
      <c r="S10" s="173">
        <f t="shared" ref="S10" si="12">SUM(S8:S9)</f>
        <v>8409</v>
      </c>
      <c r="T10" s="12">
        <f>SUM(T8:T9)</f>
        <v>3896</v>
      </c>
      <c r="U10" s="173">
        <f t="shared" ref="U10" si="13">SUM(U8:U9)</f>
        <v>12305</v>
      </c>
      <c r="V10" s="12">
        <f t="shared" si="8"/>
        <v>4477</v>
      </c>
      <c r="W10" s="13">
        <v>16782</v>
      </c>
      <c r="X10" s="349">
        <f>X8+X9</f>
        <v>4931</v>
      </c>
      <c r="Y10" s="12">
        <v>4791</v>
      </c>
      <c r="Z10" s="173">
        <f t="shared" si="0"/>
        <v>9722</v>
      </c>
    </row>
    <row r="11" spans="1:26" x14ac:dyDescent="0.35">
      <c r="A11" s="34" t="s">
        <v>215</v>
      </c>
      <c r="B11" s="34" t="s">
        <v>167</v>
      </c>
      <c r="C11" s="8">
        <v>-1110</v>
      </c>
      <c r="D11" s="8">
        <v>-1275</v>
      </c>
      <c r="E11" s="174">
        <f t="shared" si="1"/>
        <v>-2385</v>
      </c>
      <c r="F11" s="8">
        <v>-1252</v>
      </c>
      <c r="G11" s="174">
        <f t="shared" si="1"/>
        <v>-3637</v>
      </c>
      <c r="H11" s="8">
        <v>-1005</v>
      </c>
      <c r="I11" s="9">
        <f t="shared" si="2"/>
        <v>-4642</v>
      </c>
      <c r="J11" s="8">
        <v>-1598</v>
      </c>
      <c r="K11" s="8">
        <v>-1456</v>
      </c>
      <c r="L11" s="174">
        <f t="shared" si="3"/>
        <v>-3054</v>
      </c>
      <c r="M11" s="8">
        <v>-1589</v>
      </c>
      <c r="N11" s="174">
        <f t="shared" si="4"/>
        <v>-4643</v>
      </c>
      <c r="O11" s="8">
        <v>-1478</v>
      </c>
      <c r="P11" s="9">
        <f t="shared" si="5"/>
        <v>-6121</v>
      </c>
      <c r="Q11" s="8">
        <v>-1534</v>
      </c>
      <c r="R11" s="8">
        <v>-1390.4480350856943</v>
      </c>
      <c r="S11" s="174">
        <f t="shared" si="6"/>
        <v>-2924.4480350856943</v>
      </c>
      <c r="T11" s="8">
        <v>-1196.5519649143057</v>
      </c>
      <c r="U11" s="174">
        <f t="shared" si="7"/>
        <v>-4121</v>
      </c>
      <c r="V11" s="8">
        <f t="shared" si="8"/>
        <v>-2517</v>
      </c>
      <c r="W11" s="9">
        <v>-6638</v>
      </c>
      <c r="X11" s="347">
        <f>'Business Unit Information'!AG67</f>
        <v>-1753</v>
      </c>
      <c r="Y11" s="8">
        <v>-1865</v>
      </c>
      <c r="Z11" s="174">
        <f t="shared" si="0"/>
        <v>-3618</v>
      </c>
    </row>
    <row r="12" spans="1:26" x14ac:dyDescent="0.35">
      <c r="A12" s="34" t="s">
        <v>656</v>
      </c>
      <c r="B12" s="34" t="s">
        <v>169</v>
      </c>
      <c r="C12" s="8">
        <v>-396</v>
      </c>
      <c r="D12" s="8">
        <v>-575</v>
      </c>
      <c r="E12" s="174">
        <f t="shared" si="1"/>
        <v>-971</v>
      </c>
      <c r="F12" s="8">
        <v>-460</v>
      </c>
      <c r="G12" s="174">
        <f t="shared" si="1"/>
        <v>-1431</v>
      </c>
      <c r="H12" s="8">
        <v>-457</v>
      </c>
      <c r="I12" s="9">
        <f t="shared" si="2"/>
        <v>-1888</v>
      </c>
      <c r="J12" s="8">
        <v>-503</v>
      </c>
      <c r="K12" s="8">
        <v>-626</v>
      </c>
      <c r="L12" s="174">
        <f t="shared" si="3"/>
        <v>-1129</v>
      </c>
      <c r="M12" s="8">
        <v>-458</v>
      </c>
      <c r="N12" s="174">
        <f t="shared" si="4"/>
        <v>-1587</v>
      </c>
      <c r="O12" s="8">
        <v>-728</v>
      </c>
      <c r="P12" s="9">
        <f t="shared" si="5"/>
        <v>-2315</v>
      </c>
      <c r="Q12" s="8">
        <v>-597</v>
      </c>
      <c r="R12" s="8">
        <v>-1432</v>
      </c>
      <c r="S12" s="174">
        <f t="shared" si="6"/>
        <v>-2029</v>
      </c>
      <c r="T12" s="8">
        <v>-947</v>
      </c>
      <c r="U12" s="174">
        <f t="shared" si="7"/>
        <v>-2976</v>
      </c>
      <c r="V12" s="8">
        <f t="shared" si="8"/>
        <v>-1076</v>
      </c>
      <c r="W12" s="9">
        <v>-4052</v>
      </c>
      <c r="X12" s="347">
        <f>'Business Unit Information'!AG79</f>
        <v>-912</v>
      </c>
      <c r="Y12" s="8">
        <v>-1199</v>
      </c>
      <c r="Z12" s="174">
        <f t="shared" si="0"/>
        <v>-2111</v>
      </c>
    </row>
    <row r="13" spans="1:26" x14ac:dyDescent="0.35">
      <c r="A13" s="34" t="s">
        <v>217</v>
      </c>
      <c r="B13" s="34" t="s">
        <v>171</v>
      </c>
      <c r="C13" s="8">
        <v>-4947</v>
      </c>
      <c r="D13" s="8">
        <v>-5398</v>
      </c>
      <c r="E13" s="174">
        <f t="shared" si="1"/>
        <v>-10345</v>
      </c>
      <c r="F13" s="8">
        <v>-5455</v>
      </c>
      <c r="G13" s="174">
        <f t="shared" si="1"/>
        <v>-15800</v>
      </c>
      <c r="H13" s="8">
        <v>-3555</v>
      </c>
      <c r="I13" s="9">
        <f t="shared" si="2"/>
        <v>-19355</v>
      </c>
      <c r="J13" s="8">
        <v>-6080</v>
      </c>
      <c r="K13" s="8">
        <v>-6999</v>
      </c>
      <c r="L13" s="174">
        <f t="shared" si="3"/>
        <v>-13079</v>
      </c>
      <c r="M13" s="8">
        <v>-6003</v>
      </c>
      <c r="N13" s="174">
        <f t="shared" si="4"/>
        <v>-19082</v>
      </c>
      <c r="O13" s="8">
        <v>-5700</v>
      </c>
      <c r="P13" s="9">
        <f t="shared" si="5"/>
        <v>-24782</v>
      </c>
      <c r="Q13" s="8">
        <v>-5957</v>
      </c>
      <c r="R13" s="8">
        <v>-7791</v>
      </c>
      <c r="S13" s="174">
        <f t="shared" si="6"/>
        <v>-13748</v>
      </c>
      <c r="T13" s="8">
        <v>-6858</v>
      </c>
      <c r="U13" s="174">
        <f t="shared" si="7"/>
        <v>-20606</v>
      </c>
      <c r="V13" s="8">
        <f t="shared" si="8"/>
        <v>-5965</v>
      </c>
      <c r="W13" s="9">
        <v>-26571</v>
      </c>
      <c r="X13" s="347">
        <f>'Business Unit Information'!AG55</f>
        <v>-8666</v>
      </c>
      <c r="Y13" s="8">
        <v>-8030</v>
      </c>
      <c r="Z13" s="174">
        <f t="shared" si="0"/>
        <v>-16696</v>
      </c>
    </row>
    <row r="14" spans="1:26" x14ac:dyDescent="0.35">
      <c r="A14" s="34" t="s">
        <v>218</v>
      </c>
      <c r="B14" s="34" t="s">
        <v>218</v>
      </c>
      <c r="C14" s="8">
        <v>-26</v>
      </c>
      <c r="D14" s="8">
        <v>-30</v>
      </c>
      <c r="E14" s="174">
        <f t="shared" si="1"/>
        <v>-56</v>
      </c>
      <c r="F14" s="8">
        <v>-23</v>
      </c>
      <c r="G14" s="174">
        <f t="shared" si="1"/>
        <v>-79</v>
      </c>
      <c r="H14" s="8">
        <v>-50</v>
      </c>
      <c r="I14" s="9">
        <f t="shared" si="2"/>
        <v>-129</v>
      </c>
      <c r="J14" s="8">
        <v>-82</v>
      </c>
      <c r="K14" s="8">
        <v>-57</v>
      </c>
      <c r="L14" s="174">
        <f t="shared" si="3"/>
        <v>-139</v>
      </c>
      <c r="M14" s="8">
        <v>-104</v>
      </c>
      <c r="N14" s="174">
        <f t="shared" si="4"/>
        <v>-243</v>
      </c>
      <c r="O14" s="8">
        <v>-107</v>
      </c>
      <c r="P14" s="9">
        <f t="shared" si="5"/>
        <v>-350</v>
      </c>
      <c r="Q14" s="8">
        <v>-53</v>
      </c>
      <c r="R14" s="8">
        <v>-227</v>
      </c>
      <c r="S14" s="174">
        <f t="shared" si="6"/>
        <v>-280</v>
      </c>
      <c r="T14" s="8">
        <v>-195</v>
      </c>
      <c r="U14" s="174">
        <f t="shared" si="7"/>
        <v>-475</v>
      </c>
      <c r="V14" s="8">
        <f t="shared" si="8"/>
        <v>-229</v>
      </c>
      <c r="W14" s="9">
        <v>-704</v>
      </c>
      <c r="X14" s="347">
        <v>-109</v>
      </c>
      <c r="Y14" s="8">
        <v>-278</v>
      </c>
      <c r="Z14" s="174">
        <f t="shared" si="0"/>
        <v>-387</v>
      </c>
    </row>
    <row r="15" spans="1:26" x14ac:dyDescent="0.35">
      <c r="A15" s="34" t="s">
        <v>657</v>
      </c>
      <c r="B15" s="34" t="s">
        <v>658</v>
      </c>
      <c r="C15" s="8">
        <v>0</v>
      </c>
      <c r="D15" s="8">
        <v>0</v>
      </c>
      <c r="E15" s="174">
        <f t="shared" si="1"/>
        <v>0</v>
      </c>
      <c r="F15" s="8">
        <v>1208</v>
      </c>
      <c r="G15" s="174">
        <f t="shared" si="1"/>
        <v>1208</v>
      </c>
      <c r="H15" s="8">
        <v>1630</v>
      </c>
      <c r="I15" s="5">
        <f t="shared" si="2"/>
        <v>2838</v>
      </c>
      <c r="J15" s="8">
        <v>0</v>
      </c>
      <c r="K15" s="8">
        <v>0</v>
      </c>
      <c r="L15" s="174">
        <f t="shared" si="3"/>
        <v>0</v>
      </c>
      <c r="M15" s="8">
        <v>0</v>
      </c>
      <c r="N15" s="174">
        <f t="shared" si="4"/>
        <v>0</v>
      </c>
      <c r="O15" s="8">
        <v>0</v>
      </c>
      <c r="P15" s="5">
        <f t="shared" si="5"/>
        <v>0</v>
      </c>
      <c r="Q15" s="8">
        <v>0</v>
      </c>
      <c r="R15" s="8">
        <v>508</v>
      </c>
      <c r="S15" s="174">
        <f t="shared" si="6"/>
        <v>508</v>
      </c>
      <c r="T15" s="8">
        <v>0</v>
      </c>
      <c r="U15" s="174">
        <f t="shared" si="7"/>
        <v>508</v>
      </c>
      <c r="V15" s="8">
        <f t="shared" si="8"/>
        <v>0</v>
      </c>
      <c r="W15" s="9">
        <v>508</v>
      </c>
      <c r="X15" s="347">
        <v>1068</v>
      </c>
      <c r="Y15" s="8">
        <v>1443</v>
      </c>
      <c r="Z15" s="174">
        <f t="shared" si="0"/>
        <v>2511</v>
      </c>
    </row>
    <row r="16" spans="1:26" x14ac:dyDescent="0.35">
      <c r="A16" s="35" t="s">
        <v>71</v>
      </c>
      <c r="B16" s="35" t="s">
        <v>72</v>
      </c>
      <c r="C16" s="116">
        <f t="shared" ref="C16:H16" si="14">SUM(C10:C15)</f>
        <v>-9532</v>
      </c>
      <c r="D16" s="116">
        <f t="shared" si="14"/>
        <v>-1866</v>
      </c>
      <c r="E16" s="190">
        <f t="shared" si="1"/>
        <v>-11398</v>
      </c>
      <c r="F16" s="116">
        <f t="shared" si="14"/>
        <v>-2290</v>
      </c>
      <c r="G16" s="190">
        <f t="shared" si="1"/>
        <v>-13688</v>
      </c>
      <c r="H16" s="116">
        <f t="shared" si="14"/>
        <v>2323</v>
      </c>
      <c r="I16" s="117">
        <f t="shared" si="2"/>
        <v>-11365</v>
      </c>
      <c r="J16" s="116">
        <f>SUM(J10:J15)</f>
        <v>-9644</v>
      </c>
      <c r="K16" s="116">
        <f t="shared" ref="K16:O16" si="15">SUM(K10:K15)</f>
        <v>-4501</v>
      </c>
      <c r="L16" s="190">
        <f t="shared" si="3"/>
        <v>-14145</v>
      </c>
      <c r="M16" s="116">
        <f t="shared" si="15"/>
        <v>-4770</v>
      </c>
      <c r="N16" s="190">
        <f t="shared" si="4"/>
        <v>-18915</v>
      </c>
      <c r="O16" s="116">
        <f t="shared" si="15"/>
        <v>-1295</v>
      </c>
      <c r="P16" s="117">
        <f t="shared" si="5"/>
        <v>-20210</v>
      </c>
      <c r="Q16" s="116">
        <f>SUM(Q10:Q15)</f>
        <v>-6370</v>
      </c>
      <c r="R16" s="116">
        <f>SUM(R10:R15)</f>
        <v>-3694.4480350856938</v>
      </c>
      <c r="S16" s="190">
        <f t="shared" si="6"/>
        <v>-10064.448035085694</v>
      </c>
      <c r="T16" s="116">
        <v>-5300.5519649143062</v>
      </c>
      <c r="U16" s="190">
        <f t="shared" si="7"/>
        <v>-15365</v>
      </c>
      <c r="V16" s="116">
        <f t="shared" si="8"/>
        <v>-5310</v>
      </c>
      <c r="W16" s="117">
        <v>-20675</v>
      </c>
      <c r="X16" s="393">
        <f>SUM(X10:X15)</f>
        <v>-5441</v>
      </c>
      <c r="Y16" s="116">
        <v>-5138</v>
      </c>
      <c r="Z16" s="190">
        <f t="shared" si="0"/>
        <v>-10579</v>
      </c>
    </row>
    <row r="18" spans="1:27" ht="15" thickBot="1" x14ac:dyDescent="0.4">
      <c r="A18" s="21" t="s">
        <v>212</v>
      </c>
      <c r="B18" s="21" t="s">
        <v>213</v>
      </c>
      <c r="C18" s="22"/>
      <c r="D18" s="22"/>
      <c r="E18" s="22"/>
      <c r="F18" s="22"/>
      <c r="G18" s="22"/>
      <c r="H18" s="23"/>
      <c r="I18" s="22"/>
      <c r="J18" s="22"/>
      <c r="K18" s="22"/>
      <c r="L18" s="22"/>
      <c r="M18" s="22"/>
      <c r="N18" s="22"/>
      <c r="O18" s="22"/>
      <c r="P18" s="22"/>
      <c r="Q18" s="22"/>
      <c r="R18" s="22"/>
      <c r="S18" s="22"/>
      <c r="T18" s="22"/>
      <c r="U18" s="22"/>
      <c r="V18" s="22"/>
      <c r="W18" s="22"/>
      <c r="X18" s="22"/>
      <c r="Y18" s="22"/>
      <c r="Z18" s="22"/>
    </row>
    <row r="19" spans="1:27" x14ac:dyDescent="0.35">
      <c r="A19" s="102" t="s">
        <v>165</v>
      </c>
      <c r="B19" s="102" t="s">
        <v>677</v>
      </c>
      <c r="C19" s="24">
        <f t="shared" ref="C19:U19" si="16">C10/C$8</f>
        <v>-0.52511179910560712</v>
      </c>
      <c r="D19" s="24">
        <f t="shared" si="16"/>
        <v>0.59433340654513511</v>
      </c>
      <c r="E19" s="177">
        <f t="shared" si="16"/>
        <v>0.15810991957104559</v>
      </c>
      <c r="F19" s="24">
        <f t="shared" si="16"/>
        <v>0.50135795763172186</v>
      </c>
      <c r="G19" s="177">
        <f t="shared" si="16"/>
        <v>0.27154011847065157</v>
      </c>
      <c r="H19" s="24">
        <f t="shared" si="16"/>
        <v>0.63248050949818824</v>
      </c>
      <c r="I19" s="25">
        <f t="shared" si="16"/>
        <v>0.37625434041604283</v>
      </c>
      <c r="J19" s="24">
        <f t="shared" si="16"/>
        <v>-0.15560563380281689</v>
      </c>
      <c r="K19" s="24">
        <f t="shared" si="16"/>
        <v>0.42047515415306491</v>
      </c>
      <c r="L19" s="177">
        <f t="shared" si="16"/>
        <v>0.16359342812641312</v>
      </c>
      <c r="M19" s="24">
        <f t="shared" si="16"/>
        <v>0.37495844875346263</v>
      </c>
      <c r="N19" s="177">
        <f t="shared" si="16"/>
        <v>0.22953539823008851</v>
      </c>
      <c r="O19" s="24">
        <f t="shared" si="16"/>
        <v>0.54809496614179654</v>
      </c>
      <c r="P19" s="25">
        <f t="shared" si="16"/>
        <v>0.32434138642709726</v>
      </c>
      <c r="Q19" s="24">
        <f t="shared" si="16"/>
        <v>0.22537541359124458</v>
      </c>
      <c r="R19" s="24">
        <f t="shared" si="16"/>
        <v>0.49364170446939837</v>
      </c>
      <c r="S19" s="177">
        <f t="shared" si="16"/>
        <v>0.39469608073222251</v>
      </c>
      <c r="T19" s="24">
        <f t="shared" si="16"/>
        <v>0.33872370022604764</v>
      </c>
      <c r="U19" s="177">
        <f t="shared" si="16"/>
        <v>0.3750723930868412</v>
      </c>
      <c r="V19" s="24">
        <f t="shared" ref="V19:X19" si="17">V10/V$8</f>
        <v>0.33425414364640882</v>
      </c>
      <c r="W19" s="25">
        <f t="shared" si="17"/>
        <v>0.36323889093309669</v>
      </c>
      <c r="X19" s="83">
        <f t="shared" si="17"/>
        <v>0.4309937942487545</v>
      </c>
      <c r="Y19" s="24">
        <f>Y10/Y$8</f>
        <v>0.31770557029177721</v>
      </c>
      <c r="Z19" s="177">
        <f>Z10/Z$8</f>
        <v>0.36657742920704345</v>
      </c>
    </row>
    <row r="20" spans="1:27" x14ac:dyDescent="0.35">
      <c r="A20" s="102" t="s">
        <v>215</v>
      </c>
      <c r="B20" s="95" t="s">
        <v>167</v>
      </c>
      <c r="C20" s="24">
        <f t="shared" ref="C20:D23" si="18">C11/C$8*-1</f>
        <v>0.19091847265221878</v>
      </c>
      <c r="D20" s="24">
        <f t="shared" si="18"/>
        <v>0.1400175708324182</v>
      </c>
      <c r="E20" s="177">
        <f t="shared" ref="E20:G20" si="19">E11/E$8*-1</f>
        <v>0.15985254691689008</v>
      </c>
      <c r="F20" s="24">
        <f>F11/F$8*-1</f>
        <v>0.17001629549158065</v>
      </c>
      <c r="G20" s="177">
        <f t="shared" si="19"/>
        <v>0.16321127266199964</v>
      </c>
      <c r="H20" s="24">
        <f>H11/H$8*-1</f>
        <v>0.11035467223015263</v>
      </c>
      <c r="I20" s="25">
        <f>I11/I$8*-1</f>
        <v>0.14787677996878085</v>
      </c>
      <c r="J20" s="24">
        <f t="shared" ref="I20:L23" si="20">J11/J$8*-1</f>
        <v>0.18005633802816901</v>
      </c>
      <c r="K20" s="24">
        <f t="shared" si="20"/>
        <v>0.13202756619513964</v>
      </c>
      <c r="L20" s="177">
        <f t="shared" si="20"/>
        <v>0.1534442043912978</v>
      </c>
      <c r="M20" s="24">
        <f>M11/M$8*-1</f>
        <v>0.17606648199445984</v>
      </c>
      <c r="N20" s="177">
        <f t="shared" ref="N20" si="21">N11/N$8*-1</f>
        <v>0.16050193584070796</v>
      </c>
      <c r="O20" s="24">
        <f>O11/O$8*-1</f>
        <v>0.12058415599249409</v>
      </c>
      <c r="P20" s="25">
        <f t="shared" ref="P20:S23" si="22">P11/P$8*-1</f>
        <v>0.14862207114240622</v>
      </c>
      <c r="Q20" s="24">
        <f t="shared" si="22"/>
        <v>0.19521506744718758</v>
      </c>
      <c r="R20" s="24">
        <f t="shared" si="22"/>
        <v>0.10340209973121843</v>
      </c>
      <c r="S20" s="177">
        <f t="shared" si="22"/>
        <v>0.13726580779562048</v>
      </c>
      <c r="T20" s="24">
        <f>T11/T$8*-1</f>
        <v>0.10402990479171498</v>
      </c>
      <c r="U20" s="177">
        <f t="shared" ref="U20" si="23">U11/U$8*-1</f>
        <v>0.12561343615691772</v>
      </c>
      <c r="V20" s="24">
        <f t="shared" ref="V20:X23" si="24">V11/V$8*-1</f>
        <v>0.18791996416305809</v>
      </c>
      <c r="W20" s="25">
        <f t="shared" si="24"/>
        <v>0.1436765437977533</v>
      </c>
      <c r="X20" s="83">
        <f t="shared" si="24"/>
        <v>0.15322087230137227</v>
      </c>
      <c r="Y20" s="24">
        <f t="shared" ref="Y20:Z23" si="25">Y11/Y$8*-1</f>
        <v>0.1236737400530504</v>
      </c>
      <c r="Z20" s="177">
        <f>Z11/Z$8*-1</f>
        <v>0.13642019531691868</v>
      </c>
    </row>
    <row r="21" spans="1:27" x14ac:dyDescent="0.35">
      <c r="A21" s="102" t="s">
        <v>216</v>
      </c>
      <c r="B21" s="95" t="s">
        <v>169</v>
      </c>
      <c r="C21" s="24">
        <f t="shared" si="18"/>
        <v>6.8111455108359129E-2</v>
      </c>
      <c r="D21" s="24">
        <f t="shared" si="18"/>
        <v>6.3145179002855253E-2</v>
      </c>
      <c r="E21" s="177">
        <f>E12/E$8*-1</f>
        <v>6.5080428954423591E-2</v>
      </c>
      <c r="F21" s="24">
        <f>F12/F$8*-1</f>
        <v>6.2466051059206953E-2</v>
      </c>
      <c r="G21" s="177">
        <f t="shared" ref="G21" si="26">G12/G$8*-1</f>
        <v>6.4216478190630047E-2</v>
      </c>
      <c r="H21" s="24">
        <f>H12/H$8*-1</f>
        <v>5.0181179312616668E-2</v>
      </c>
      <c r="I21" s="25">
        <f t="shared" si="20"/>
        <v>6.0144627440986267E-2</v>
      </c>
      <c r="J21" s="24">
        <f t="shared" si="20"/>
        <v>5.667605633802817E-2</v>
      </c>
      <c r="K21" s="24">
        <f t="shared" si="20"/>
        <v>5.6764599202031196E-2</v>
      </c>
      <c r="L21" s="177">
        <f t="shared" si="20"/>
        <v>5.6725116816560318E-2</v>
      </c>
      <c r="M21" s="24">
        <f>M12/M$8*-1</f>
        <v>5.0747922437673128E-2</v>
      </c>
      <c r="N21" s="177">
        <f t="shared" ref="N21" si="27">N12/N$8*-1</f>
        <v>5.486034292035398E-2</v>
      </c>
      <c r="O21" s="24">
        <f>O12/O$8*-1</f>
        <v>5.9394631639063396E-2</v>
      </c>
      <c r="P21" s="25">
        <f t="shared" si="22"/>
        <v>5.6209785115940269E-2</v>
      </c>
      <c r="Q21" s="24">
        <f t="shared" si="22"/>
        <v>7.597353016034615E-2</v>
      </c>
      <c r="R21" s="24">
        <f t="shared" si="22"/>
        <v>0.10649215438387745</v>
      </c>
      <c r="S21" s="177">
        <f t="shared" si="22"/>
        <v>9.5235860126730812E-2</v>
      </c>
      <c r="T21" s="24">
        <f>T12/T$8*-1</f>
        <v>8.2333507216136317E-2</v>
      </c>
      <c r="U21" s="177">
        <f t="shared" ref="U21" si="28">U12/U$8*-1</f>
        <v>9.0712347974517632E-2</v>
      </c>
      <c r="V21" s="24">
        <f t="shared" si="24"/>
        <v>8.0334478124533371E-2</v>
      </c>
      <c r="W21" s="25">
        <f t="shared" si="24"/>
        <v>8.7703729356507429E-2</v>
      </c>
      <c r="X21" s="83">
        <f t="shared" si="24"/>
        <v>7.9713311773446371E-2</v>
      </c>
      <c r="Y21" s="24">
        <f t="shared" si="25"/>
        <v>7.9509283819628643E-2</v>
      </c>
      <c r="Z21" s="177">
        <f t="shared" si="25"/>
        <v>7.9597300252629996E-2</v>
      </c>
    </row>
    <row r="22" spans="1:27" x14ac:dyDescent="0.35">
      <c r="A22" s="102" t="s">
        <v>217</v>
      </c>
      <c r="B22" s="95" t="s">
        <v>171</v>
      </c>
      <c r="C22" s="24">
        <f t="shared" si="18"/>
        <v>0.85087719298245612</v>
      </c>
      <c r="D22" s="24">
        <f t="shared" si="18"/>
        <v>0.59279595870854385</v>
      </c>
      <c r="E22" s="177">
        <f t="shared" ref="E22:G22" si="29">E13/E$8*-1</f>
        <v>0.69336461126005366</v>
      </c>
      <c r="F22" s="24">
        <f>F13/F$8*-1</f>
        <v>0.74076588810429111</v>
      </c>
      <c r="G22" s="177">
        <f t="shared" si="29"/>
        <v>0.70902889965894811</v>
      </c>
      <c r="H22" s="24">
        <f>H13/H$8*-1</f>
        <v>0.39035906445591301</v>
      </c>
      <c r="I22" s="25">
        <f t="shared" si="20"/>
        <v>0.61657800006371255</v>
      </c>
      <c r="J22" s="24">
        <f t="shared" si="20"/>
        <v>0.68507042253521122</v>
      </c>
      <c r="K22" s="24">
        <f t="shared" si="20"/>
        <v>0.63465723612622416</v>
      </c>
      <c r="L22" s="177">
        <f t="shared" si="20"/>
        <v>0.65713711500778782</v>
      </c>
      <c r="M22" s="24">
        <f>M13/M$8*-1</f>
        <v>0.66515235457063715</v>
      </c>
      <c r="N22" s="177">
        <f t="shared" ref="N22" si="30">N13/N$8*-1</f>
        <v>0.65963772123893805</v>
      </c>
      <c r="O22" s="24">
        <f>O13/O$8*-1</f>
        <v>0.46504038508607326</v>
      </c>
      <c r="P22" s="25">
        <f t="shared" si="22"/>
        <v>0.60172392861478696</v>
      </c>
      <c r="Q22" s="24">
        <f t="shared" si="22"/>
        <v>0.75808093662509546</v>
      </c>
      <c r="R22" s="24">
        <f t="shared" si="22"/>
        <v>0.57938573659552317</v>
      </c>
      <c r="S22" s="177">
        <f t="shared" si="22"/>
        <v>0.64529453180004692</v>
      </c>
      <c r="T22" s="24">
        <f>T13/T$8*-1</f>
        <v>0.59624413145539901</v>
      </c>
      <c r="U22" s="177">
        <f t="shared" ref="U22" si="31">U13/U$8*-1</f>
        <v>0.62809766208431128</v>
      </c>
      <c r="V22" s="24">
        <f t="shared" si="24"/>
        <v>0.44534866358070779</v>
      </c>
      <c r="W22" s="25">
        <f t="shared" si="24"/>
        <v>0.57511742170082902</v>
      </c>
      <c r="X22" s="83">
        <f t="shared" si="24"/>
        <v>0.75745127174198057</v>
      </c>
      <c r="Y22" s="24">
        <f t="shared" si="25"/>
        <v>0.5324933687002652</v>
      </c>
      <c r="Z22" s="177">
        <f>Z13/Z$8*-1</f>
        <v>0.62953885600090498</v>
      </c>
    </row>
    <row r="23" spans="1:27" x14ac:dyDescent="0.35">
      <c r="A23" s="102" t="s">
        <v>218</v>
      </c>
      <c r="B23" s="102" t="s">
        <v>218</v>
      </c>
      <c r="C23" s="24">
        <f t="shared" si="18"/>
        <v>4.4719642242862061E-3</v>
      </c>
      <c r="D23" s="24">
        <f t="shared" si="18"/>
        <v>3.2945310784098397E-3</v>
      </c>
      <c r="E23" s="177">
        <f>E14/E$8*-1</f>
        <v>3.7533512064343165E-3</v>
      </c>
      <c r="F23" s="24">
        <f>F14/F$8*-1</f>
        <v>3.1233025529603478E-3</v>
      </c>
      <c r="G23" s="177">
        <f>G14/G$8*-1</f>
        <v>3.5451444982947406E-3</v>
      </c>
      <c r="H23" s="24">
        <f>H14/H$8*-1</f>
        <v>5.4902822005051055E-3</v>
      </c>
      <c r="I23" s="25">
        <f t="shared" si="20"/>
        <v>4.1094581249402698E-3</v>
      </c>
      <c r="J23" s="24">
        <f t="shared" si="20"/>
        <v>9.2394366197183098E-3</v>
      </c>
      <c r="K23" s="24">
        <f t="shared" si="20"/>
        <v>5.1686615886833518E-3</v>
      </c>
      <c r="L23" s="177">
        <f>L14/L$8*-1</f>
        <v>6.9838717781239013E-3</v>
      </c>
      <c r="M23" s="24">
        <f>M14/M$8*-1</f>
        <v>1.152354570637119E-2</v>
      </c>
      <c r="N23" s="177">
        <f>N14/N$8*-1</f>
        <v>8.4001659292035399E-3</v>
      </c>
      <c r="O23" s="24">
        <f>O14/O$8*-1</f>
        <v>8.7297054744227796E-3</v>
      </c>
      <c r="P23" s="25">
        <f t="shared" si="22"/>
        <v>8.4982396503581401E-3</v>
      </c>
      <c r="Q23" s="24">
        <f t="shared" si="22"/>
        <v>6.7447187579536775E-3</v>
      </c>
      <c r="R23" s="24">
        <f t="shared" si="22"/>
        <v>1.6881088718673311E-2</v>
      </c>
      <c r="S23" s="177">
        <f>S14/S$8*-1</f>
        <v>1.3142454822811546E-2</v>
      </c>
      <c r="T23" s="24">
        <f>T14/T$8*-1</f>
        <v>1.6953573291601461E-2</v>
      </c>
      <c r="U23" s="177">
        <f>U14/U$8*-1</f>
        <v>1.4478617368244582E-2</v>
      </c>
      <c r="V23" s="24">
        <f t="shared" si="24"/>
        <v>1.709720770494251E-2</v>
      </c>
      <c r="W23" s="25">
        <f t="shared" si="24"/>
        <v>1.5237765416332981E-2</v>
      </c>
      <c r="X23" s="83">
        <f t="shared" si="24"/>
        <v>9.527139236080763E-3</v>
      </c>
      <c r="Y23" s="24">
        <f t="shared" si="25"/>
        <v>1.843501326259947E-2</v>
      </c>
      <c r="Z23" s="177">
        <f t="shared" si="25"/>
        <v>1.4592209946834585E-2</v>
      </c>
    </row>
    <row r="24" spans="1:27" x14ac:dyDescent="0.35">
      <c r="A24" s="102" t="s">
        <v>659</v>
      </c>
      <c r="B24" s="102" t="s">
        <v>660</v>
      </c>
      <c r="C24" s="24">
        <f t="shared" ref="C24:U24" si="32">C16/C8</f>
        <v>-1.6394908840729274</v>
      </c>
      <c r="D24" s="24">
        <f t="shared" si="32"/>
        <v>-0.20491983307709202</v>
      </c>
      <c r="E24" s="177">
        <f t="shared" si="32"/>
        <v>-0.76394101876675602</v>
      </c>
      <c r="F24" s="24">
        <f t="shared" si="32"/>
        <v>-0.31097229766431289</v>
      </c>
      <c r="G24" s="177">
        <f t="shared" si="32"/>
        <v>-0.61425237838808111</v>
      </c>
      <c r="H24" s="24">
        <f t="shared" si="32"/>
        <v>0.25507851103546725</v>
      </c>
      <c r="I24" s="25">
        <f t="shared" si="32"/>
        <v>-0.36204644643369116</v>
      </c>
      <c r="J24" s="24">
        <f t="shared" si="32"/>
        <v>-1.0866478873239436</v>
      </c>
      <c r="K24" s="24">
        <f t="shared" si="32"/>
        <v>-0.4081429089590134</v>
      </c>
      <c r="L24" s="177">
        <f t="shared" si="32"/>
        <v>-0.71069687986735663</v>
      </c>
      <c r="M24" s="24">
        <f t="shared" si="32"/>
        <v>-0.52853185595567864</v>
      </c>
      <c r="N24" s="177">
        <f t="shared" si="32"/>
        <v>-0.65386476769911506</v>
      </c>
      <c r="O24" s="24">
        <f t="shared" si="32"/>
        <v>-0.105653912050257</v>
      </c>
      <c r="P24" s="25">
        <f t="shared" si="32"/>
        <v>-0.49071263809639432</v>
      </c>
      <c r="Q24" s="24">
        <f t="shared" si="32"/>
        <v>-0.81063883939933823</v>
      </c>
      <c r="R24" s="24">
        <f t="shared" si="32"/>
        <v>-0.27474143192427264</v>
      </c>
      <c r="S24" s="177">
        <f t="shared" si="32"/>
        <v>-0.4723984057773149</v>
      </c>
      <c r="T24" s="24">
        <f t="shared" si="32"/>
        <v>-0.46083741652880422</v>
      </c>
      <c r="U24" s="177">
        <f t="shared" si="32"/>
        <v>-0.46834517023805894</v>
      </c>
      <c r="V24" s="24">
        <f t="shared" ref="V24:X24" si="33">V16/V8</f>
        <v>-0.3964461699268329</v>
      </c>
      <c r="W24" s="25">
        <f t="shared" si="33"/>
        <v>-0.44750113633904026</v>
      </c>
      <c r="X24" s="83">
        <f t="shared" si="33"/>
        <v>-0.47557031727995802</v>
      </c>
      <c r="Y24" s="24">
        <f>Y16/Y8</f>
        <v>-0.34071618037135276</v>
      </c>
      <c r="Z24" s="177">
        <f>Z16/Z8</f>
        <v>-0.39889144451566683</v>
      </c>
    </row>
    <row r="26" spans="1:27" s="160" customFormat="1" x14ac:dyDescent="0.35">
      <c r="A26" s="314" t="s">
        <v>661</v>
      </c>
      <c r="B26" s="314" t="s">
        <v>662</v>
      </c>
    </row>
    <row r="27" spans="1:27" s="160" customFormat="1" x14ac:dyDescent="0.35">
      <c r="A27" s="314" t="s">
        <v>663</v>
      </c>
      <c r="B27" s="314" t="s">
        <v>664</v>
      </c>
    </row>
    <row r="28" spans="1:27" s="160" customFormat="1" x14ac:dyDescent="0.35">
      <c r="Y28" s="453"/>
      <c r="Z28" s="453"/>
    </row>
    <row r="29" spans="1:27" s="160" customFormat="1" ht="15" thickBot="1" x14ac:dyDescent="0.4">
      <c r="Y29" s="453"/>
      <c r="Z29" s="453"/>
    </row>
    <row r="30" spans="1:27" ht="15" thickBot="1" x14ac:dyDescent="0.4">
      <c r="A30" s="319" t="s">
        <v>713</v>
      </c>
      <c r="B30" s="319" t="s">
        <v>711</v>
      </c>
      <c r="C30" s="101" t="s">
        <v>49</v>
      </c>
      <c r="D30" s="101" t="s">
        <v>50</v>
      </c>
      <c r="E30" s="101" t="s">
        <v>153</v>
      </c>
      <c r="F30" s="101" t="s">
        <v>51</v>
      </c>
      <c r="G30" s="101" t="s">
        <v>154</v>
      </c>
      <c r="H30" s="101" t="s">
        <v>52</v>
      </c>
      <c r="I30" s="101">
        <v>2021</v>
      </c>
      <c r="J30" s="101" t="s">
        <v>53</v>
      </c>
      <c r="K30" s="101" t="s">
        <v>54</v>
      </c>
      <c r="L30" s="101" t="s">
        <v>155</v>
      </c>
      <c r="M30" s="101" t="s">
        <v>55</v>
      </c>
      <c r="N30" s="101" t="s">
        <v>156</v>
      </c>
      <c r="O30" s="101" t="s">
        <v>56</v>
      </c>
      <c r="P30" s="101">
        <v>2022</v>
      </c>
      <c r="Q30" s="101" t="s">
        <v>57</v>
      </c>
      <c r="R30" s="101" t="s">
        <v>58</v>
      </c>
      <c r="S30" s="101" t="s">
        <v>159</v>
      </c>
      <c r="T30" s="101" t="s">
        <v>59</v>
      </c>
      <c r="U30" s="101" t="s">
        <v>160</v>
      </c>
      <c r="V30" s="101" t="s">
        <v>60</v>
      </c>
      <c r="W30" s="101">
        <v>2023</v>
      </c>
      <c r="X30" s="101" t="s">
        <v>61</v>
      </c>
      <c r="Y30" s="101" t="s">
        <v>1166</v>
      </c>
      <c r="Z30" s="101" t="s">
        <v>1167</v>
      </c>
      <c r="AA30" s="20"/>
    </row>
    <row r="31" spans="1:27" ht="15" thickTop="1" x14ac:dyDescent="0.35">
      <c r="A31" s="320" t="s">
        <v>665</v>
      </c>
      <c r="B31" s="321" t="s">
        <v>666</v>
      </c>
      <c r="C31" s="2" t="s">
        <v>62</v>
      </c>
      <c r="D31" s="2" t="s">
        <v>62</v>
      </c>
      <c r="E31" s="2" t="s">
        <v>62</v>
      </c>
      <c r="F31" s="2" t="s">
        <v>62</v>
      </c>
      <c r="G31" s="2" t="s">
        <v>62</v>
      </c>
      <c r="H31" s="2" t="s">
        <v>62</v>
      </c>
      <c r="I31" s="2" t="s">
        <v>62</v>
      </c>
      <c r="J31" s="2" t="s">
        <v>62</v>
      </c>
      <c r="K31" s="2" t="s">
        <v>62</v>
      </c>
      <c r="L31" s="2" t="s">
        <v>62</v>
      </c>
      <c r="M31" s="2" t="s">
        <v>62</v>
      </c>
      <c r="N31" s="2" t="s">
        <v>62</v>
      </c>
      <c r="O31" s="2" t="s">
        <v>62</v>
      </c>
      <c r="P31" s="2" t="s">
        <v>62</v>
      </c>
      <c r="Q31" s="2" t="s">
        <v>62</v>
      </c>
      <c r="R31" s="2" t="s">
        <v>62</v>
      </c>
      <c r="S31" s="2" t="s">
        <v>62</v>
      </c>
      <c r="T31" s="2" t="s">
        <v>62</v>
      </c>
      <c r="U31" s="2" t="s">
        <v>62</v>
      </c>
      <c r="V31" s="2" t="s">
        <v>62</v>
      </c>
      <c r="W31" s="2" t="s">
        <v>62</v>
      </c>
      <c r="X31" s="2" t="s">
        <v>62</v>
      </c>
      <c r="Y31" s="2" t="s">
        <v>62</v>
      </c>
      <c r="Z31" s="2" t="s">
        <v>62</v>
      </c>
    </row>
    <row r="32" spans="1:27" x14ac:dyDescent="0.35">
      <c r="A32" s="34" t="s">
        <v>128</v>
      </c>
      <c r="B32" s="34" t="s">
        <v>129</v>
      </c>
      <c r="C32" s="8">
        <v>3370</v>
      </c>
      <c r="D32" s="8">
        <v>4708</v>
      </c>
      <c r="E32" s="174">
        <f>C32+D32</f>
        <v>8078</v>
      </c>
      <c r="F32" s="8">
        <v>4780</v>
      </c>
      <c r="G32" s="174">
        <f>E32+F32</f>
        <v>12858</v>
      </c>
      <c r="H32" s="8">
        <v>4297</v>
      </c>
      <c r="I32" s="9">
        <f>G32+H32</f>
        <v>17155</v>
      </c>
      <c r="J32" s="8">
        <v>5851</v>
      </c>
      <c r="K32" s="8">
        <v>6769</v>
      </c>
      <c r="L32" s="174">
        <f>J32+K32</f>
        <v>12620</v>
      </c>
      <c r="M32" s="8">
        <v>6092</v>
      </c>
      <c r="N32" s="174">
        <f>L32+M32</f>
        <v>18712</v>
      </c>
      <c r="O32" s="8">
        <v>8969</v>
      </c>
      <c r="P32" s="149">
        <f>N32+O32</f>
        <v>27681</v>
      </c>
      <c r="Q32" s="8">
        <v>5604</v>
      </c>
      <c r="R32" s="8">
        <v>8321</v>
      </c>
      <c r="S32" s="174">
        <f>Q32+R32</f>
        <v>13925</v>
      </c>
      <c r="T32" s="8">
        <v>8418</v>
      </c>
      <c r="U32" s="174">
        <f>S32+T32</f>
        <v>22343</v>
      </c>
      <c r="V32" s="18">
        <f>W32-U32</f>
        <v>9017</v>
      </c>
      <c r="W32" s="4">
        <v>31360</v>
      </c>
      <c r="X32" s="8">
        <v>7174</v>
      </c>
      <c r="Y32" s="8">
        <v>10046</v>
      </c>
      <c r="Z32" s="174">
        <f>SUM(X32:Y32)</f>
        <v>17220</v>
      </c>
    </row>
    <row r="33" spans="1:27" x14ac:dyDescent="0.35">
      <c r="A33" s="34" t="s">
        <v>130</v>
      </c>
      <c r="B33" s="34" t="s">
        <v>131</v>
      </c>
      <c r="C33" s="8">
        <v>238</v>
      </c>
      <c r="D33" s="8">
        <v>308</v>
      </c>
      <c r="E33" s="174">
        <f t="shared" ref="E33:E38" si="34">C33+D33</f>
        <v>546</v>
      </c>
      <c r="F33" s="8">
        <v>246</v>
      </c>
      <c r="G33" s="174">
        <f t="shared" ref="G33:G38" si="35">E33+F33</f>
        <v>792</v>
      </c>
      <c r="H33" s="8">
        <v>275</v>
      </c>
      <c r="I33" s="9">
        <f>G33+H33</f>
        <v>1067</v>
      </c>
      <c r="J33" s="8">
        <v>277</v>
      </c>
      <c r="K33" s="8">
        <v>278</v>
      </c>
      <c r="L33" s="174">
        <f t="shared" ref="L33:L38" si="36">J33+K33</f>
        <v>555</v>
      </c>
      <c r="M33" s="8">
        <v>351</v>
      </c>
      <c r="N33" s="174">
        <f t="shared" ref="N33:N38" si="37">L33+M33</f>
        <v>906</v>
      </c>
      <c r="O33" s="8">
        <v>338</v>
      </c>
      <c r="P33" s="149">
        <f t="shared" ref="P33:P38" si="38">N33+O33</f>
        <v>1244</v>
      </c>
      <c r="Q33" s="8">
        <v>386</v>
      </c>
      <c r="R33" s="8">
        <v>453</v>
      </c>
      <c r="S33" s="174">
        <f t="shared" ref="S33:S38" si="39">Q33+R33</f>
        <v>839</v>
      </c>
      <c r="T33" s="8">
        <v>420</v>
      </c>
      <c r="U33" s="174">
        <f t="shared" ref="U33:U38" si="40">S33+T33</f>
        <v>1259</v>
      </c>
      <c r="V33" s="18">
        <f t="shared" ref="V33:V38" si="41">W33-U33</f>
        <v>540</v>
      </c>
      <c r="W33" s="149">
        <v>1799</v>
      </c>
      <c r="X33" s="8">
        <v>703</v>
      </c>
      <c r="Y33" s="8">
        <f>Z33-X33</f>
        <v>430</v>
      </c>
      <c r="Z33" s="174">
        <v>1133</v>
      </c>
    </row>
    <row r="34" spans="1:27" x14ac:dyDescent="0.35">
      <c r="A34" s="34" t="s">
        <v>132</v>
      </c>
      <c r="B34" s="34" t="s">
        <v>133</v>
      </c>
      <c r="C34" s="8">
        <v>0</v>
      </c>
      <c r="D34" s="8">
        <v>0</v>
      </c>
      <c r="E34" s="174">
        <f t="shared" si="34"/>
        <v>0</v>
      </c>
      <c r="F34" s="8">
        <v>0</v>
      </c>
      <c r="G34" s="174">
        <f t="shared" si="35"/>
        <v>0</v>
      </c>
      <c r="H34" s="8">
        <v>0</v>
      </c>
      <c r="I34" s="9">
        <f t="shared" ref="I34:I38" si="42">G34+H34</f>
        <v>0</v>
      </c>
      <c r="J34" s="8">
        <v>0</v>
      </c>
      <c r="K34" s="8">
        <v>0</v>
      </c>
      <c r="L34" s="174">
        <f t="shared" si="36"/>
        <v>0</v>
      </c>
      <c r="M34" s="8">
        <v>0</v>
      </c>
      <c r="N34" s="174">
        <f t="shared" si="37"/>
        <v>0</v>
      </c>
      <c r="O34" s="8">
        <v>0</v>
      </c>
      <c r="P34" s="149">
        <f t="shared" si="38"/>
        <v>0</v>
      </c>
      <c r="Q34" s="8">
        <v>0</v>
      </c>
      <c r="R34" s="8">
        <v>0</v>
      </c>
      <c r="S34" s="174">
        <f t="shared" si="39"/>
        <v>0</v>
      </c>
      <c r="T34" s="8" t="s">
        <v>178</v>
      </c>
      <c r="U34" s="174">
        <v>0</v>
      </c>
      <c r="V34" s="18" t="s">
        <v>178</v>
      </c>
      <c r="W34" s="149">
        <v>0</v>
      </c>
      <c r="X34" s="8">
        <v>0</v>
      </c>
      <c r="Y34" s="8">
        <v>0</v>
      </c>
      <c r="Z34" s="174">
        <f t="shared" ref="Z34" si="43">X34+Y34</f>
        <v>0</v>
      </c>
    </row>
    <row r="35" spans="1:27" x14ac:dyDescent="0.35">
      <c r="A35" s="34" t="s">
        <v>134</v>
      </c>
      <c r="B35" s="34" t="s">
        <v>135</v>
      </c>
      <c r="C35" s="8">
        <v>1386</v>
      </c>
      <c r="D35" s="8">
        <v>3305</v>
      </c>
      <c r="E35" s="174">
        <f t="shared" si="34"/>
        <v>4691</v>
      </c>
      <c r="F35" s="8">
        <v>1284</v>
      </c>
      <c r="G35" s="174">
        <f t="shared" si="35"/>
        <v>5975</v>
      </c>
      <c r="H35" s="8">
        <v>3270</v>
      </c>
      <c r="I35" s="9">
        <f t="shared" si="42"/>
        <v>9245</v>
      </c>
      <c r="J35" s="8">
        <v>1484</v>
      </c>
      <c r="K35" s="8">
        <v>3021</v>
      </c>
      <c r="L35" s="174">
        <f t="shared" si="36"/>
        <v>4505</v>
      </c>
      <c r="M35" s="8">
        <v>1449</v>
      </c>
      <c r="N35" s="174">
        <f t="shared" si="37"/>
        <v>5954</v>
      </c>
      <c r="O35" s="8">
        <v>1506</v>
      </c>
      <c r="P35" s="149">
        <f t="shared" si="38"/>
        <v>7460</v>
      </c>
      <c r="Q35" s="8">
        <v>855</v>
      </c>
      <c r="R35" s="8">
        <v>3164</v>
      </c>
      <c r="S35" s="174">
        <f t="shared" si="39"/>
        <v>4019</v>
      </c>
      <c r="T35" s="8">
        <v>1541</v>
      </c>
      <c r="U35" s="174">
        <f t="shared" si="40"/>
        <v>5560</v>
      </c>
      <c r="V35" s="18">
        <f t="shared" si="41"/>
        <v>2261</v>
      </c>
      <c r="W35" s="149">
        <v>7821</v>
      </c>
      <c r="X35" s="8">
        <v>1953</v>
      </c>
      <c r="Y35" s="8">
        <f>Z35-X35</f>
        <v>2515</v>
      </c>
      <c r="Z35" s="174">
        <v>4468</v>
      </c>
    </row>
    <row r="36" spans="1:27" x14ac:dyDescent="0.35">
      <c r="A36" s="34" t="s">
        <v>136</v>
      </c>
      <c r="B36" s="34" t="s">
        <v>137</v>
      </c>
      <c r="C36" s="8">
        <v>608</v>
      </c>
      <c r="D36" s="8">
        <v>783</v>
      </c>
      <c r="E36" s="174">
        <f t="shared" si="34"/>
        <v>1391</v>
      </c>
      <c r="F36" s="8">
        <v>970</v>
      </c>
      <c r="G36" s="174">
        <f t="shared" si="35"/>
        <v>2361</v>
      </c>
      <c r="H36" s="8">
        <v>1197</v>
      </c>
      <c r="I36" s="9">
        <f t="shared" si="42"/>
        <v>3558</v>
      </c>
      <c r="J36" s="8">
        <v>975</v>
      </c>
      <c r="K36" s="8">
        <v>732</v>
      </c>
      <c r="L36" s="174">
        <f t="shared" si="36"/>
        <v>1707</v>
      </c>
      <c r="M36" s="8">
        <v>1257</v>
      </c>
      <c r="N36" s="174">
        <f t="shared" si="37"/>
        <v>2964</v>
      </c>
      <c r="O36" s="8">
        <v>1028</v>
      </c>
      <c r="P36" s="149">
        <f t="shared" si="38"/>
        <v>3992</v>
      </c>
      <c r="Q36" s="8">
        <v>880</v>
      </c>
      <c r="R36" s="8">
        <v>1150</v>
      </c>
      <c r="S36" s="174">
        <f>Q36+R36</f>
        <v>2030</v>
      </c>
      <c r="T36" s="8">
        <v>942</v>
      </c>
      <c r="U36" s="174">
        <f t="shared" si="40"/>
        <v>2972</v>
      </c>
      <c r="V36" s="18">
        <f t="shared" si="41"/>
        <v>1317</v>
      </c>
      <c r="W36" s="149">
        <v>4289</v>
      </c>
      <c r="X36" s="8">
        <v>1457</v>
      </c>
      <c r="Y36" s="8">
        <f>Z36-X36</f>
        <v>1788</v>
      </c>
      <c r="Z36" s="174">
        <v>3245</v>
      </c>
    </row>
    <row r="37" spans="1:27" x14ac:dyDescent="0.35">
      <c r="A37" s="34" t="s">
        <v>138</v>
      </c>
      <c r="B37" s="34" t="s">
        <v>139</v>
      </c>
      <c r="C37" s="8">
        <v>0</v>
      </c>
      <c r="D37" s="8">
        <v>0</v>
      </c>
      <c r="E37" s="174">
        <f t="shared" si="34"/>
        <v>0</v>
      </c>
      <c r="F37" s="8">
        <v>0</v>
      </c>
      <c r="G37" s="174">
        <f t="shared" si="35"/>
        <v>0</v>
      </c>
      <c r="H37" s="8">
        <v>0</v>
      </c>
      <c r="I37" s="9">
        <f t="shared" si="42"/>
        <v>0</v>
      </c>
      <c r="J37" s="8">
        <v>0</v>
      </c>
      <c r="K37" s="8">
        <v>0</v>
      </c>
      <c r="L37" s="174">
        <f t="shared" si="36"/>
        <v>0</v>
      </c>
      <c r="M37" s="8">
        <v>0</v>
      </c>
      <c r="N37" s="174">
        <f t="shared" si="37"/>
        <v>0</v>
      </c>
      <c r="O37" s="8">
        <v>1</v>
      </c>
      <c r="P37" s="149">
        <f t="shared" si="38"/>
        <v>1</v>
      </c>
      <c r="Q37" s="8">
        <v>56</v>
      </c>
      <c r="R37" s="8">
        <v>47</v>
      </c>
      <c r="S37" s="174">
        <f t="shared" si="39"/>
        <v>103</v>
      </c>
      <c r="T37" s="8">
        <v>80</v>
      </c>
      <c r="U37" s="174">
        <f t="shared" si="40"/>
        <v>183</v>
      </c>
      <c r="V37" s="18">
        <f t="shared" si="41"/>
        <v>112</v>
      </c>
      <c r="W37" s="149">
        <v>295</v>
      </c>
      <c r="X37" s="8">
        <v>95</v>
      </c>
      <c r="Y37" s="8">
        <f>Z37-X37</f>
        <v>106</v>
      </c>
      <c r="Z37" s="174">
        <v>201</v>
      </c>
    </row>
    <row r="38" spans="1:27" x14ac:dyDescent="0.35">
      <c r="A38" s="34" t="s">
        <v>140</v>
      </c>
      <c r="B38" s="34" t="s">
        <v>141</v>
      </c>
      <c r="C38" s="8">
        <v>213</v>
      </c>
      <c r="D38" s="8">
        <v>1</v>
      </c>
      <c r="E38" s="174">
        <f t="shared" si="34"/>
        <v>214</v>
      </c>
      <c r="F38" s="8">
        <v>84</v>
      </c>
      <c r="G38" s="174">
        <f t="shared" si="35"/>
        <v>298</v>
      </c>
      <c r="H38" s="8">
        <v>68</v>
      </c>
      <c r="I38" s="9">
        <f t="shared" si="42"/>
        <v>366</v>
      </c>
      <c r="J38" s="8">
        <v>288</v>
      </c>
      <c r="K38" s="8">
        <v>228</v>
      </c>
      <c r="L38" s="174">
        <f t="shared" si="36"/>
        <v>516</v>
      </c>
      <c r="M38" s="8">
        <v>-124</v>
      </c>
      <c r="N38" s="174">
        <f t="shared" si="37"/>
        <v>392</v>
      </c>
      <c r="O38" s="8">
        <v>415</v>
      </c>
      <c r="P38" s="149">
        <f t="shared" si="38"/>
        <v>807</v>
      </c>
      <c r="Q38" s="8">
        <v>77</v>
      </c>
      <c r="R38" s="8">
        <v>312</v>
      </c>
      <c r="S38" s="174">
        <f t="shared" si="39"/>
        <v>389</v>
      </c>
      <c r="T38" s="8">
        <v>101</v>
      </c>
      <c r="U38" s="174">
        <f t="shared" si="40"/>
        <v>490</v>
      </c>
      <c r="V38" s="18">
        <f t="shared" si="41"/>
        <v>147</v>
      </c>
      <c r="W38" s="149">
        <v>637</v>
      </c>
      <c r="X38" s="8">
        <v>59</v>
      </c>
      <c r="Y38" s="8">
        <f>Z38-X38</f>
        <v>195</v>
      </c>
      <c r="Z38" s="174">
        <v>254</v>
      </c>
    </row>
    <row r="39" spans="1:27" x14ac:dyDescent="0.35">
      <c r="A39" s="11" t="s">
        <v>142</v>
      </c>
      <c r="B39" s="11" t="s">
        <v>64</v>
      </c>
      <c r="C39" s="12">
        <f t="shared" ref="C39:R39" si="44">SUM(C32:C38)</f>
        <v>5815</v>
      </c>
      <c r="D39" s="12">
        <f t="shared" si="44"/>
        <v>9105</v>
      </c>
      <c r="E39" s="173">
        <f>SUM(E32:E38)</f>
        <v>14920</v>
      </c>
      <c r="F39" s="12">
        <f t="shared" si="44"/>
        <v>7364</v>
      </c>
      <c r="G39" s="173">
        <f>SUM(G32:G38)</f>
        <v>22284</v>
      </c>
      <c r="H39" s="12">
        <f t="shared" si="44"/>
        <v>9107</v>
      </c>
      <c r="I39" s="13">
        <f t="shared" si="44"/>
        <v>31391</v>
      </c>
      <c r="J39" s="12">
        <f t="shared" si="44"/>
        <v>8875</v>
      </c>
      <c r="K39" s="12">
        <f t="shared" si="44"/>
        <v>11028</v>
      </c>
      <c r="L39" s="173">
        <f>SUM(L32:L38)</f>
        <v>19903</v>
      </c>
      <c r="M39" s="12">
        <f t="shared" si="44"/>
        <v>9025</v>
      </c>
      <c r="N39" s="173">
        <f>SUM(N32:N38)</f>
        <v>28928</v>
      </c>
      <c r="O39" s="12">
        <f t="shared" si="44"/>
        <v>12257</v>
      </c>
      <c r="P39" s="13">
        <f>SUM(P32:P38)</f>
        <v>41185</v>
      </c>
      <c r="Q39" s="12">
        <f t="shared" si="44"/>
        <v>7858</v>
      </c>
      <c r="R39" s="12">
        <f t="shared" si="44"/>
        <v>13447</v>
      </c>
      <c r="S39" s="173">
        <f>SUM(S32:S38)</f>
        <v>21305</v>
      </c>
      <c r="T39" s="12">
        <f>SUM(T32:T38)</f>
        <v>11502</v>
      </c>
      <c r="U39" s="173">
        <f>SUM(U32:U38)</f>
        <v>32807</v>
      </c>
      <c r="V39" s="12">
        <f>W39-U39</f>
        <v>13394</v>
      </c>
      <c r="W39" s="13">
        <v>46201</v>
      </c>
      <c r="X39" s="12">
        <f t="shared" ref="X39" si="45">SUM(X32:X38)</f>
        <v>11441</v>
      </c>
      <c r="Y39" s="12">
        <f>SUM(Y32:Y38)</f>
        <v>15080</v>
      </c>
      <c r="Z39" s="173">
        <f>SUM(Z32:Z38)</f>
        <v>26521</v>
      </c>
    </row>
    <row r="41" spans="1:27" ht="15" thickBot="1" x14ac:dyDescent="0.4"/>
    <row r="42" spans="1:27" ht="15" thickBot="1" x14ac:dyDescent="0.4">
      <c r="A42" s="319" t="s">
        <v>711</v>
      </c>
      <c r="B42" s="319" t="s">
        <v>711</v>
      </c>
      <c r="C42" s="101" t="s">
        <v>49</v>
      </c>
      <c r="D42" s="101" t="s">
        <v>50</v>
      </c>
      <c r="E42" s="101" t="s">
        <v>153</v>
      </c>
      <c r="F42" s="101" t="s">
        <v>51</v>
      </c>
      <c r="G42" s="101" t="s">
        <v>154</v>
      </c>
      <c r="H42" s="101" t="s">
        <v>52</v>
      </c>
      <c r="I42" s="101">
        <v>2021</v>
      </c>
      <c r="J42" s="101" t="s">
        <v>53</v>
      </c>
      <c r="K42" s="101" t="s">
        <v>54</v>
      </c>
      <c r="L42" s="101" t="s">
        <v>155</v>
      </c>
      <c r="M42" s="101" t="s">
        <v>55</v>
      </c>
      <c r="N42" s="101" t="s">
        <v>156</v>
      </c>
      <c r="O42" s="101" t="s">
        <v>56</v>
      </c>
      <c r="P42" s="101">
        <v>2022</v>
      </c>
      <c r="Q42" s="101" t="s">
        <v>57</v>
      </c>
      <c r="R42" s="101" t="s">
        <v>58</v>
      </c>
      <c r="S42" s="101" t="s">
        <v>159</v>
      </c>
      <c r="T42" s="101" t="s">
        <v>59</v>
      </c>
      <c r="U42" s="101" t="s">
        <v>160</v>
      </c>
      <c r="V42" s="101" t="s">
        <v>60</v>
      </c>
      <c r="W42" s="101">
        <v>2023</v>
      </c>
      <c r="X42" s="101" t="s">
        <v>61</v>
      </c>
      <c r="Y42" s="101" t="s">
        <v>1166</v>
      </c>
      <c r="Z42" s="101" t="s">
        <v>1167</v>
      </c>
      <c r="AA42" s="20"/>
    </row>
    <row r="43" spans="1:27" ht="15" thickTop="1" x14ac:dyDescent="0.35">
      <c r="A43" s="320" t="s">
        <v>714</v>
      </c>
      <c r="B43" s="321" t="s">
        <v>715</v>
      </c>
      <c r="C43" s="2" t="s">
        <v>62</v>
      </c>
      <c r="D43" s="2" t="s">
        <v>62</v>
      </c>
      <c r="E43" s="2" t="s">
        <v>62</v>
      </c>
      <c r="F43" s="2" t="s">
        <v>62</v>
      </c>
      <c r="G43" s="2" t="s">
        <v>62</v>
      </c>
      <c r="H43" s="2" t="s">
        <v>62</v>
      </c>
      <c r="I43" s="2" t="s">
        <v>62</v>
      </c>
      <c r="J43" s="2" t="s">
        <v>62</v>
      </c>
      <c r="K43" s="2" t="s">
        <v>62</v>
      </c>
      <c r="L43" s="2" t="s">
        <v>62</v>
      </c>
      <c r="M43" s="2" t="s">
        <v>62</v>
      </c>
      <c r="N43" s="2" t="s">
        <v>62</v>
      </c>
      <c r="O43" s="2" t="s">
        <v>62</v>
      </c>
      <c r="P43" s="2" t="s">
        <v>62</v>
      </c>
      <c r="Q43" s="2" t="s">
        <v>62</v>
      </c>
      <c r="R43" s="2" t="s">
        <v>62</v>
      </c>
      <c r="S43" s="2" t="s">
        <v>62</v>
      </c>
      <c r="T43" s="2" t="s">
        <v>62</v>
      </c>
      <c r="U43" s="2" t="s">
        <v>62</v>
      </c>
      <c r="V43" s="2" t="s">
        <v>62</v>
      </c>
      <c r="W43" s="2" t="s">
        <v>62</v>
      </c>
      <c r="X43" s="2" t="s">
        <v>62</v>
      </c>
      <c r="Y43" s="2" t="s">
        <v>62</v>
      </c>
      <c r="Z43" s="2" t="s">
        <v>62</v>
      </c>
    </row>
    <row r="44" spans="1:27" x14ac:dyDescent="0.35">
      <c r="A44" s="34" t="s">
        <v>716</v>
      </c>
      <c r="B44" s="34" t="s">
        <v>716</v>
      </c>
      <c r="C44" s="8">
        <v>2375</v>
      </c>
      <c r="D44" s="8">
        <v>3409</v>
      </c>
      <c r="E44" s="8">
        <f>C44+D44</f>
        <v>5784</v>
      </c>
      <c r="F44" s="8">
        <v>3489</v>
      </c>
      <c r="G44" s="8">
        <f>E44+F44</f>
        <v>9273</v>
      </c>
      <c r="H44" s="8">
        <v>3913</v>
      </c>
      <c r="I44" s="149">
        <v>13186</v>
      </c>
      <c r="J44" s="8">
        <v>3536</v>
      </c>
      <c r="K44" s="8">
        <f>L44-J44</f>
        <v>5696</v>
      </c>
      <c r="L44" s="174">
        <v>9232</v>
      </c>
      <c r="M44" s="8">
        <f>N44-L44</f>
        <v>5669</v>
      </c>
      <c r="N44" s="174">
        <v>14901</v>
      </c>
      <c r="O44" s="8">
        <f>P44-N44</f>
        <v>6010</v>
      </c>
      <c r="P44" s="149">
        <v>20911</v>
      </c>
      <c r="Q44" s="347">
        <v>5029</v>
      </c>
      <c r="R44" s="8">
        <f>S44-Q44</f>
        <v>5263</v>
      </c>
      <c r="S44" s="174">
        <v>10292</v>
      </c>
      <c r="T44" s="8">
        <f>U44-S44</f>
        <v>6212</v>
      </c>
      <c r="U44" s="174">
        <v>16504</v>
      </c>
      <c r="V44" s="8">
        <f>W44-U44</f>
        <v>5178</v>
      </c>
      <c r="W44" s="149">
        <v>21682</v>
      </c>
      <c r="X44" s="347">
        <v>6070</v>
      </c>
      <c r="Y44" s="8">
        <f>Z44-X44</f>
        <v>6979</v>
      </c>
      <c r="Z44" s="174">
        <v>13049</v>
      </c>
    </row>
    <row r="45" spans="1:27" x14ac:dyDescent="0.35">
      <c r="A45" s="250" t="s">
        <v>717</v>
      </c>
      <c r="B45" s="250" t="s">
        <v>717</v>
      </c>
      <c r="C45" s="6">
        <v>0</v>
      </c>
      <c r="D45" s="6">
        <v>0</v>
      </c>
      <c r="E45" s="6">
        <v>0</v>
      </c>
      <c r="F45" s="6">
        <v>0</v>
      </c>
      <c r="G45" s="6">
        <v>0</v>
      </c>
      <c r="H45" s="6">
        <v>0</v>
      </c>
      <c r="I45" s="162">
        <v>18205</v>
      </c>
      <c r="J45" s="6">
        <v>5339</v>
      </c>
      <c r="K45" s="6">
        <f t="shared" ref="K45:M45" si="46">L45-J45</f>
        <v>5332</v>
      </c>
      <c r="L45" s="172">
        <v>10671</v>
      </c>
      <c r="M45" s="6">
        <f t="shared" si="46"/>
        <v>3356</v>
      </c>
      <c r="N45" s="172">
        <v>14027</v>
      </c>
      <c r="O45" s="6">
        <f t="shared" ref="O45" si="47">P45-N45</f>
        <v>6247</v>
      </c>
      <c r="P45" s="162">
        <f>P46-P44</f>
        <v>20274</v>
      </c>
      <c r="Q45" s="355">
        <v>2832</v>
      </c>
      <c r="R45" s="6">
        <f t="shared" ref="R45" si="48">S45-Q45</f>
        <v>8181</v>
      </c>
      <c r="S45" s="172">
        <v>11013</v>
      </c>
      <c r="T45" s="6">
        <f>U45-S45</f>
        <v>5290</v>
      </c>
      <c r="U45" s="172">
        <v>16303</v>
      </c>
      <c r="V45" s="6">
        <f>W45-U45</f>
        <v>8216</v>
      </c>
      <c r="W45" s="162">
        <f>W46-W44</f>
        <v>24519</v>
      </c>
      <c r="X45" s="355">
        <f>X46-X44</f>
        <v>5371</v>
      </c>
      <c r="Y45" s="6">
        <v>8101</v>
      </c>
      <c r="Z45" s="172">
        <v>13472</v>
      </c>
    </row>
    <row r="46" spans="1:27" s="31" customFormat="1" x14ac:dyDescent="0.35">
      <c r="A46" s="11" t="s">
        <v>142</v>
      </c>
      <c r="B46" s="11" t="s">
        <v>64</v>
      </c>
      <c r="C46" s="254">
        <f>SUM(C44:C45)</f>
        <v>2375</v>
      </c>
      <c r="D46" s="254">
        <f t="shared" ref="D46:H46" si="49">SUM(D44:D45)</f>
        <v>3409</v>
      </c>
      <c r="E46" s="254">
        <f t="shared" si="49"/>
        <v>5784</v>
      </c>
      <c r="F46" s="254">
        <f t="shared" si="49"/>
        <v>3489</v>
      </c>
      <c r="G46" s="254">
        <f t="shared" si="49"/>
        <v>9273</v>
      </c>
      <c r="H46" s="254">
        <f t="shared" si="49"/>
        <v>3913</v>
      </c>
      <c r="I46" s="13">
        <f>I44+I45</f>
        <v>31391</v>
      </c>
      <c r="J46" s="12">
        <f t="shared" ref="J46:O46" si="50">J44+J45</f>
        <v>8875</v>
      </c>
      <c r="K46" s="12">
        <f t="shared" si="50"/>
        <v>11028</v>
      </c>
      <c r="L46" s="173">
        <f t="shared" si="50"/>
        <v>19903</v>
      </c>
      <c r="M46" s="12">
        <f t="shared" si="50"/>
        <v>9025</v>
      </c>
      <c r="N46" s="173">
        <f t="shared" si="50"/>
        <v>28928</v>
      </c>
      <c r="O46" s="255">
        <f t="shared" si="50"/>
        <v>12257</v>
      </c>
      <c r="P46" s="162">
        <v>41185</v>
      </c>
      <c r="Q46" s="12">
        <f>Q44+Q45</f>
        <v>7861</v>
      </c>
      <c r="R46" s="12">
        <f>R44+R45</f>
        <v>13444</v>
      </c>
      <c r="S46" s="173">
        <f>S44+S45</f>
        <v>21305</v>
      </c>
      <c r="T46" s="12">
        <f>T44+T45</f>
        <v>11502</v>
      </c>
      <c r="U46" s="173">
        <f>U44+U45</f>
        <v>32807</v>
      </c>
      <c r="V46" s="12">
        <f>W46-U46</f>
        <v>13394</v>
      </c>
      <c r="W46" s="13">
        <v>46201</v>
      </c>
      <c r="X46" s="12">
        <f>X39</f>
        <v>11441</v>
      </c>
      <c r="Y46" s="12">
        <f>Y44+Y45</f>
        <v>15080</v>
      </c>
      <c r="Z46" s="173">
        <f>Z44+Z45</f>
        <v>26521</v>
      </c>
    </row>
    <row r="47" spans="1:27" x14ac:dyDescent="0.35">
      <c r="T47" s="10"/>
    </row>
    <row r="49" spans="16:16" x14ac:dyDescent="0.35">
      <c r="P49" s="20"/>
    </row>
    <row r="50" spans="16:16" x14ac:dyDescent="0.35">
      <c r="P50" s="20"/>
    </row>
    <row r="51" spans="16:16" x14ac:dyDescent="0.35">
      <c r="P51" s="66"/>
    </row>
  </sheetData>
  <mergeCells count="2">
    <mergeCell ref="B2:B3"/>
    <mergeCell ref="A2:A3"/>
  </mergeCells>
  <pageMargins left="0.7" right="0.7" top="0.75" bottom="0.75" header="0.3" footer="0.3"/>
  <pageSetup paperSize="9" orientation="portrait" r:id="rId1"/>
  <ignoredErrors>
    <ignoredError sqref="E10 E16 I10 I16 G10 F16:H16 L10:U10 L16:P16"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29934-8AA4-4EB5-BFF7-B173E2C3654B}">
  <sheetPr>
    <tabColor rgb="FF0070C0"/>
  </sheetPr>
  <dimension ref="A1:AA67"/>
  <sheetViews>
    <sheetView tabSelected="1" topLeftCell="A5" zoomScale="86" zoomScaleNormal="86" workbookViewId="0">
      <pane xSplit="2" topLeftCell="H1" activePane="topRight" state="frozen"/>
      <selection activeCell="A31" sqref="A31"/>
      <selection pane="topRight" activeCell="P33" sqref="P33:P46"/>
    </sheetView>
  </sheetViews>
  <sheetFormatPr defaultRowHeight="14.5" x14ac:dyDescent="0.35"/>
  <cols>
    <col min="1" max="1" width="48.1796875" customWidth="1"/>
    <col min="2" max="2" width="48.81640625" customWidth="1"/>
    <col min="3" max="6" width="11.54296875" customWidth="1"/>
    <col min="7" max="7" width="13" bestFit="1" customWidth="1"/>
    <col min="8" max="8" width="11.54296875" customWidth="1"/>
    <col min="9" max="9" width="12.1796875" bestFit="1" customWidth="1"/>
    <col min="10" max="11" width="11.54296875" customWidth="1"/>
    <col min="12" max="12" width="12.1796875" bestFit="1" customWidth="1"/>
    <col min="13" max="13" width="11.54296875" customWidth="1"/>
    <col min="14" max="14" width="13" bestFit="1" customWidth="1"/>
    <col min="15" max="15" width="11.54296875" customWidth="1"/>
    <col min="16" max="16" width="12.1796875" bestFit="1" customWidth="1"/>
    <col min="17" max="18" width="11.54296875" customWidth="1"/>
    <col min="19" max="19" width="12.1796875" bestFit="1" customWidth="1"/>
    <col min="20" max="20" width="11.54296875" customWidth="1"/>
    <col min="21" max="21" width="13" bestFit="1" customWidth="1"/>
    <col min="22" max="25" width="11.54296875" customWidth="1"/>
    <col min="26" max="26" width="12.1796875" bestFit="1" customWidth="1"/>
  </cols>
  <sheetData>
    <row r="1" spans="1:26" ht="30.75" customHeight="1" thickBot="1" x14ac:dyDescent="0.65">
      <c r="I1" s="221"/>
      <c r="P1" s="189"/>
      <c r="Y1" s="353"/>
      <c r="Z1" s="353"/>
    </row>
    <row r="2" spans="1:26" ht="15" thickBot="1" x14ac:dyDescent="0.4">
      <c r="A2" s="507" t="s">
        <v>652</v>
      </c>
      <c r="B2" s="506" t="s">
        <v>653</v>
      </c>
      <c r="C2" s="101" t="s">
        <v>49</v>
      </c>
      <c r="D2" s="101" t="s">
        <v>50</v>
      </c>
      <c r="E2" s="101" t="s">
        <v>153</v>
      </c>
      <c r="F2" s="101" t="s">
        <v>51</v>
      </c>
      <c r="G2" s="101" t="s">
        <v>154</v>
      </c>
      <c r="H2" s="101" t="s">
        <v>52</v>
      </c>
      <c r="I2" s="101">
        <v>2021</v>
      </c>
      <c r="J2" s="101" t="s">
        <v>53</v>
      </c>
      <c r="K2" s="101" t="s">
        <v>54</v>
      </c>
      <c r="L2" s="101" t="s">
        <v>155</v>
      </c>
      <c r="M2" s="101" t="s">
        <v>55</v>
      </c>
      <c r="N2" s="101" t="s">
        <v>156</v>
      </c>
      <c r="O2" s="101" t="s">
        <v>56</v>
      </c>
      <c r="P2" s="101">
        <v>2022</v>
      </c>
      <c r="Q2" s="101" t="s">
        <v>57</v>
      </c>
      <c r="R2" s="101" t="s">
        <v>58</v>
      </c>
      <c r="S2" s="101" t="s">
        <v>159</v>
      </c>
      <c r="T2" s="101" t="s">
        <v>59</v>
      </c>
      <c r="U2" s="101" t="s">
        <v>160</v>
      </c>
      <c r="V2" s="101" t="s">
        <v>60</v>
      </c>
      <c r="W2" s="101">
        <v>2023</v>
      </c>
      <c r="X2" s="101" t="s">
        <v>61</v>
      </c>
      <c r="Y2" s="101" t="s">
        <v>1166</v>
      </c>
      <c r="Z2" s="101" t="s">
        <v>1167</v>
      </c>
    </row>
    <row r="3" spans="1:26" ht="15" thickTop="1" x14ac:dyDescent="0.35">
      <c r="A3" s="507"/>
      <c r="B3" s="506"/>
      <c r="C3" s="91" t="s">
        <v>62</v>
      </c>
      <c r="D3" s="91" t="s">
        <v>62</v>
      </c>
      <c r="E3" s="91" t="s">
        <v>62</v>
      </c>
      <c r="F3" s="91" t="s">
        <v>62</v>
      </c>
      <c r="G3" s="91" t="s">
        <v>62</v>
      </c>
      <c r="H3" s="91" t="s">
        <v>62</v>
      </c>
      <c r="I3" s="91" t="s">
        <v>62</v>
      </c>
      <c r="J3" s="91" t="s">
        <v>62</v>
      </c>
      <c r="K3" s="91" t="s">
        <v>62</v>
      </c>
      <c r="L3" s="91" t="s">
        <v>62</v>
      </c>
      <c r="M3" s="91" t="s">
        <v>62</v>
      </c>
      <c r="N3" s="91" t="s">
        <v>62</v>
      </c>
      <c r="O3" s="91" t="s">
        <v>62</v>
      </c>
      <c r="P3" s="91" t="s">
        <v>62</v>
      </c>
      <c r="Q3" s="91" t="s">
        <v>62</v>
      </c>
      <c r="R3" s="91" t="s">
        <v>62</v>
      </c>
      <c r="S3" s="91" t="s">
        <v>62</v>
      </c>
      <c r="T3" s="91" t="s">
        <v>62</v>
      </c>
      <c r="U3" s="91" t="s">
        <v>62</v>
      </c>
      <c r="V3" s="91" t="s">
        <v>62</v>
      </c>
      <c r="W3" s="91" t="s">
        <v>62</v>
      </c>
      <c r="X3" s="91" t="s">
        <v>62</v>
      </c>
      <c r="Y3" s="91" t="s">
        <v>62</v>
      </c>
      <c r="Z3" s="91" t="s">
        <v>62</v>
      </c>
    </row>
    <row r="4" spans="1:26" x14ac:dyDescent="0.35">
      <c r="A4" s="103" t="s">
        <v>63</v>
      </c>
      <c r="B4" s="92" t="s">
        <v>64</v>
      </c>
      <c r="C4" s="93">
        <v>112069</v>
      </c>
      <c r="D4" s="93">
        <v>125279</v>
      </c>
      <c r="E4" s="185">
        <f>C4+D4</f>
        <v>237348</v>
      </c>
      <c r="F4" s="93">
        <v>126367</v>
      </c>
      <c r="G4" s="185">
        <f>E4+F4</f>
        <v>363715</v>
      </c>
      <c r="H4" s="93">
        <v>141304</v>
      </c>
      <c r="I4" s="94">
        <v>505019</v>
      </c>
      <c r="J4" s="93">
        <v>135308</v>
      </c>
      <c r="K4" s="93">
        <v>157441</v>
      </c>
      <c r="L4" s="185">
        <f>J4+K4</f>
        <v>292749</v>
      </c>
      <c r="M4" s="93">
        <v>180364</v>
      </c>
      <c r="N4" s="185">
        <f>L4+M4</f>
        <v>473113</v>
      </c>
      <c r="O4" s="93">
        <v>183230</v>
      </c>
      <c r="P4" s="94">
        <v>656343</v>
      </c>
      <c r="Q4" s="93">
        <v>177759</v>
      </c>
      <c r="R4" s="93">
        <v>184380</v>
      </c>
      <c r="S4" s="185">
        <f>Q4+R4</f>
        <v>362139</v>
      </c>
      <c r="T4" s="93">
        <v>185307</v>
      </c>
      <c r="U4" s="185">
        <f>S4+T4</f>
        <v>547446</v>
      </c>
      <c r="V4" s="93">
        <f>W4-U4</f>
        <v>200000</v>
      </c>
      <c r="W4" s="94">
        <v>747446</v>
      </c>
      <c r="X4" s="93">
        <f>'Business Unit Information'!AG4</f>
        <v>200125</v>
      </c>
      <c r="Y4" s="93">
        <f>Z4-X4</f>
        <v>213254</v>
      </c>
      <c r="Z4" s="185">
        <v>413379</v>
      </c>
    </row>
    <row r="5" spans="1:26" ht="15" thickBot="1" x14ac:dyDescent="0.4">
      <c r="A5" s="103"/>
      <c r="B5" s="92"/>
      <c r="C5" s="93"/>
      <c r="D5" s="93"/>
      <c r="E5" s="93"/>
      <c r="F5" s="93"/>
      <c r="G5" s="93"/>
      <c r="H5" s="93"/>
      <c r="I5" s="93"/>
      <c r="J5" s="93"/>
      <c r="K5" s="93"/>
      <c r="L5" s="93"/>
      <c r="M5" s="93"/>
      <c r="N5" s="93"/>
      <c r="O5" s="93"/>
      <c r="P5" s="93"/>
      <c r="Q5" s="93"/>
      <c r="R5" s="93"/>
      <c r="S5" s="93"/>
      <c r="T5" s="93"/>
      <c r="U5" s="93"/>
      <c r="V5" s="93"/>
      <c r="W5" s="93"/>
      <c r="X5" s="93"/>
      <c r="Y5" s="93"/>
      <c r="Z5" s="93"/>
    </row>
    <row r="6" spans="1:26" ht="15" thickBot="1" x14ac:dyDescent="0.4">
      <c r="A6" s="282" t="s">
        <v>1114</v>
      </c>
      <c r="B6" s="282" t="s">
        <v>1115</v>
      </c>
      <c r="C6" s="101" t="s">
        <v>49</v>
      </c>
      <c r="D6" s="101" t="s">
        <v>50</v>
      </c>
      <c r="E6" s="101" t="s">
        <v>153</v>
      </c>
      <c r="F6" s="101" t="s">
        <v>51</v>
      </c>
      <c r="G6" s="101" t="s">
        <v>154</v>
      </c>
      <c r="H6" s="101" t="s">
        <v>52</v>
      </c>
      <c r="I6" s="101">
        <v>2021</v>
      </c>
      <c r="J6" s="101" t="s">
        <v>53</v>
      </c>
      <c r="K6" s="101" t="s">
        <v>54</v>
      </c>
      <c r="L6" s="101" t="s">
        <v>155</v>
      </c>
      <c r="M6" s="101" t="s">
        <v>55</v>
      </c>
      <c r="N6" s="101" t="s">
        <v>156</v>
      </c>
      <c r="O6" s="101" t="s">
        <v>56</v>
      </c>
      <c r="P6" s="101">
        <v>2022</v>
      </c>
      <c r="Q6" s="101" t="s">
        <v>57</v>
      </c>
      <c r="R6" s="101" t="s">
        <v>58</v>
      </c>
      <c r="S6" s="101" t="s">
        <v>159</v>
      </c>
      <c r="T6" s="101" t="s">
        <v>59</v>
      </c>
      <c r="U6" s="101" t="s">
        <v>160</v>
      </c>
      <c r="V6" s="101" t="s">
        <v>60</v>
      </c>
      <c r="W6" s="101">
        <v>2023</v>
      </c>
      <c r="X6" s="101" t="s">
        <v>61</v>
      </c>
      <c r="Y6" s="101" t="s">
        <v>1166</v>
      </c>
      <c r="Z6" s="101" t="s">
        <v>1167</v>
      </c>
    </row>
    <row r="7" spans="1:26" ht="15.5" thickTop="1" thickBot="1" x14ac:dyDescent="0.4">
      <c r="A7" s="319" t="s">
        <v>718</v>
      </c>
      <c r="B7" s="321" t="s">
        <v>718</v>
      </c>
      <c r="C7" s="91" t="s">
        <v>62</v>
      </c>
      <c r="D7" s="91" t="s">
        <v>62</v>
      </c>
      <c r="E7" s="91" t="s">
        <v>62</v>
      </c>
      <c r="F7" s="91" t="s">
        <v>62</v>
      </c>
      <c r="G7" s="91" t="s">
        <v>62</v>
      </c>
      <c r="H7" s="91" t="s">
        <v>62</v>
      </c>
      <c r="I7" s="91" t="s">
        <v>62</v>
      </c>
      <c r="J7" s="91" t="s">
        <v>62</v>
      </c>
      <c r="K7" s="91" t="s">
        <v>62</v>
      </c>
      <c r="L7" s="91" t="s">
        <v>62</v>
      </c>
      <c r="M7" s="91" t="s">
        <v>62</v>
      </c>
      <c r="N7" s="91" t="s">
        <v>62</v>
      </c>
      <c r="O7" s="91" t="s">
        <v>62</v>
      </c>
      <c r="P7" s="91" t="s">
        <v>62</v>
      </c>
      <c r="Q7" s="91" t="s">
        <v>62</v>
      </c>
      <c r="R7" s="91" t="s">
        <v>62</v>
      </c>
      <c r="S7" s="91" t="s">
        <v>62</v>
      </c>
      <c r="T7" s="91" t="s">
        <v>62</v>
      </c>
      <c r="U7" s="91" t="s">
        <v>62</v>
      </c>
      <c r="V7" s="91" t="s">
        <v>62</v>
      </c>
      <c r="W7" s="91" t="s">
        <v>62</v>
      </c>
      <c r="X7" s="91" t="s">
        <v>62</v>
      </c>
      <c r="Y7" s="91" t="s">
        <v>62</v>
      </c>
      <c r="Z7" s="91" t="s">
        <v>62</v>
      </c>
    </row>
    <row r="8" spans="1:26" ht="15" thickTop="1" x14ac:dyDescent="0.35">
      <c r="A8" s="92" t="s">
        <v>63</v>
      </c>
      <c r="B8" s="92" t="s">
        <v>64</v>
      </c>
      <c r="C8" s="93">
        <v>43731</v>
      </c>
      <c r="D8" s="93">
        <v>46125</v>
      </c>
      <c r="E8" s="185">
        <f>C8+D8</f>
        <v>89856</v>
      </c>
      <c r="F8" s="93">
        <v>46999</v>
      </c>
      <c r="G8" s="185">
        <f>E8+F8</f>
        <v>136855</v>
      </c>
      <c r="H8" s="93">
        <v>52920</v>
      </c>
      <c r="I8" s="94">
        <v>189775</v>
      </c>
      <c r="J8" s="93">
        <v>49298</v>
      </c>
      <c r="K8" s="93">
        <v>52521</v>
      </c>
      <c r="L8" s="185">
        <f>J8+K8</f>
        <v>101819</v>
      </c>
      <c r="M8" s="93">
        <v>61508</v>
      </c>
      <c r="N8" s="185">
        <f>L8+M8</f>
        <v>163327</v>
      </c>
      <c r="O8" s="93">
        <f>P8-J8-K8-M8</f>
        <v>62589</v>
      </c>
      <c r="P8" s="94">
        <v>225916</v>
      </c>
      <c r="Q8" s="93">
        <v>59467</v>
      </c>
      <c r="R8" s="93">
        <v>55093</v>
      </c>
      <c r="S8" s="185">
        <f>Q8+R8</f>
        <v>114560</v>
      </c>
      <c r="T8" s="93">
        <v>53737</v>
      </c>
      <c r="U8" s="185">
        <f>S8+T8</f>
        <v>168297</v>
      </c>
      <c r="V8" s="93">
        <f>W8-U8</f>
        <v>58591</v>
      </c>
      <c r="W8" s="94">
        <v>226888</v>
      </c>
      <c r="X8" s="93">
        <f>'Business Unit Information'!AG8</f>
        <v>58473</v>
      </c>
      <c r="Y8" s="93">
        <v>62947</v>
      </c>
      <c r="Z8" s="185">
        <f t="shared" ref="Z8:Z14" si="0">SUM(X8:Y8)</f>
        <v>121420</v>
      </c>
    </row>
    <row r="9" spans="1:26" x14ac:dyDescent="0.35">
      <c r="A9" s="95" t="s">
        <v>163</v>
      </c>
      <c r="B9" s="95" t="s">
        <v>164</v>
      </c>
      <c r="C9" s="96">
        <v>-16491</v>
      </c>
      <c r="D9" s="96">
        <v>-21500</v>
      </c>
      <c r="E9" s="191">
        <f t="shared" ref="E9:G16" si="1">C9+D9</f>
        <v>-37991</v>
      </c>
      <c r="F9" s="96">
        <v>-23955</v>
      </c>
      <c r="G9" s="191">
        <f t="shared" si="1"/>
        <v>-61946</v>
      </c>
      <c r="H9" s="96">
        <v>-27508</v>
      </c>
      <c r="I9" s="228">
        <v>-89454</v>
      </c>
      <c r="J9" s="97">
        <v>-19645</v>
      </c>
      <c r="K9" s="97">
        <v>-23862</v>
      </c>
      <c r="L9" s="191">
        <f t="shared" ref="L9:L16" si="2">J9+K9</f>
        <v>-43507</v>
      </c>
      <c r="M9" s="97">
        <v>-26378</v>
      </c>
      <c r="N9" s="191">
        <f t="shared" ref="N9:N16" si="3">L9+M9</f>
        <v>-69885</v>
      </c>
      <c r="O9" s="97">
        <v>-32050</v>
      </c>
      <c r="P9" s="228">
        <v>-101935</v>
      </c>
      <c r="Q9" s="97">
        <v>-25611</v>
      </c>
      <c r="R9" s="97">
        <v>-25640</v>
      </c>
      <c r="S9" s="191">
        <f t="shared" ref="S9:S16" si="4">Q9+R9</f>
        <v>-51251</v>
      </c>
      <c r="T9" s="97">
        <v>-21575</v>
      </c>
      <c r="U9" s="191">
        <f t="shared" ref="U9:U16" si="5">S9+T9</f>
        <v>-72826</v>
      </c>
      <c r="V9" s="97">
        <f t="shared" ref="V9:V16" si="6">W9-U9</f>
        <v>-32316</v>
      </c>
      <c r="W9" s="228">
        <v>-105142</v>
      </c>
      <c r="X9" s="394">
        <f>'Business Unit Information'!AG44</f>
        <v>-26411</v>
      </c>
      <c r="Y9" s="97">
        <v>-28106</v>
      </c>
      <c r="Z9" s="191">
        <f t="shared" si="0"/>
        <v>-54517</v>
      </c>
    </row>
    <row r="10" spans="1:26" x14ac:dyDescent="0.35">
      <c r="A10" s="98" t="s">
        <v>165</v>
      </c>
      <c r="B10" s="98" t="s">
        <v>68</v>
      </c>
      <c r="C10" s="99">
        <v>27240</v>
      </c>
      <c r="D10" s="99">
        <v>24625</v>
      </c>
      <c r="E10" s="192">
        <f t="shared" si="1"/>
        <v>51865</v>
      </c>
      <c r="F10" s="99">
        <v>23044</v>
      </c>
      <c r="G10" s="192">
        <f t="shared" si="1"/>
        <v>74909</v>
      </c>
      <c r="H10" s="99">
        <v>25412</v>
      </c>
      <c r="I10" s="100">
        <v>100321</v>
      </c>
      <c r="J10" s="99">
        <v>29653</v>
      </c>
      <c r="K10" s="99">
        <v>28659</v>
      </c>
      <c r="L10" s="192">
        <f t="shared" si="2"/>
        <v>58312</v>
      </c>
      <c r="M10" s="99">
        <v>35130</v>
      </c>
      <c r="N10" s="192">
        <f t="shared" si="3"/>
        <v>93442</v>
      </c>
      <c r="O10" s="99">
        <v>30539</v>
      </c>
      <c r="P10" s="100">
        <v>123981</v>
      </c>
      <c r="Q10" s="99">
        <v>33856</v>
      </c>
      <c r="R10" s="99">
        <v>29453</v>
      </c>
      <c r="S10" s="192">
        <f t="shared" si="4"/>
        <v>63309</v>
      </c>
      <c r="T10" s="99">
        <v>32162</v>
      </c>
      <c r="U10" s="192">
        <f t="shared" si="5"/>
        <v>95471</v>
      </c>
      <c r="V10" s="99">
        <f t="shared" si="6"/>
        <v>26275</v>
      </c>
      <c r="W10" s="100">
        <v>121746</v>
      </c>
      <c r="X10" s="395">
        <f>X8+X9</f>
        <v>32062</v>
      </c>
      <c r="Y10" s="99">
        <v>34841</v>
      </c>
      <c r="Z10" s="192">
        <f t="shared" si="0"/>
        <v>66903</v>
      </c>
    </row>
    <row r="11" spans="1:26" x14ac:dyDescent="0.35">
      <c r="A11" s="95" t="s">
        <v>215</v>
      </c>
      <c r="B11" s="95" t="s">
        <v>167</v>
      </c>
      <c r="C11" s="96">
        <v>-10512</v>
      </c>
      <c r="D11" s="96">
        <v>-8920</v>
      </c>
      <c r="E11" s="191">
        <f t="shared" si="1"/>
        <v>-19432</v>
      </c>
      <c r="F11" s="96">
        <v>-9533</v>
      </c>
      <c r="G11" s="191">
        <f t="shared" si="1"/>
        <v>-28965</v>
      </c>
      <c r="H11" s="96">
        <v>-11243</v>
      </c>
      <c r="I11" s="228">
        <v>-40208</v>
      </c>
      <c r="J11" s="96">
        <v>-10701</v>
      </c>
      <c r="K11" s="96">
        <v>-11508</v>
      </c>
      <c r="L11" s="191">
        <f t="shared" si="2"/>
        <v>-22209</v>
      </c>
      <c r="M11" s="96">
        <v>-11994</v>
      </c>
      <c r="N11" s="191">
        <f t="shared" si="3"/>
        <v>-34203</v>
      </c>
      <c r="O11" s="96">
        <v>-14290</v>
      </c>
      <c r="P11" s="228">
        <v>-48493</v>
      </c>
      <c r="Q11" s="96">
        <v>-12150</v>
      </c>
      <c r="R11" s="96">
        <v>-12118.368630619196</v>
      </c>
      <c r="S11" s="191">
        <f t="shared" si="4"/>
        <v>-24268.368630619196</v>
      </c>
      <c r="T11" s="96">
        <v>-9523.6313693808042</v>
      </c>
      <c r="U11" s="191">
        <f t="shared" si="5"/>
        <v>-33792</v>
      </c>
      <c r="V11" s="96">
        <f t="shared" si="6"/>
        <v>-11437</v>
      </c>
      <c r="W11" s="228">
        <v>-45229</v>
      </c>
      <c r="X11" s="396">
        <f>'Business Unit Information'!AG68</f>
        <v>-12609</v>
      </c>
      <c r="Y11" s="96">
        <v>-13303</v>
      </c>
      <c r="Z11" s="191">
        <f t="shared" si="0"/>
        <v>-25912</v>
      </c>
    </row>
    <row r="12" spans="1:26" x14ac:dyDescent="0.35">
      <c r="A12" s="95" t="s">
        <v>656</v>
      </c>
      <c r="B12" s="95" t="s">
        <v>169</v>
      </c>
      <c r="C12" s="96">
        <v>-3245</v>
      </c>
      <c r="D12" s="96">
        <v>-3025</v>
      </c>
      <c r="E12" s="191">
        <f t="shared" si="1"/>
        <v>-6270</v>
      </c>
      <c r="F12" s="96">
        <v>-3220</v>
      </c>
      <c r="G12" s="191">
        <f t="shared" si="1"/>
        <v>-9490</v>
      </c>
      <c r="H12" s="96">
        <v>-2862</v>
      </c>
      <c r="I12" s="228">
        <v>-12352</v>
      </c>
      <c r="J12" s="96">
        <v>-3047</v>
      </c>
      <c r="K12" s="96">
        <v>-3129</v>
      </c>
      <c r="L12" s="191">
        <f t="shared" si="2"/>
        <v>-6176</v>
      </c>
      <c r="M12" s="96">
        <v>-3510</v>
      </c>
      <c r="N12" s="191">
        <f t="shared" si="3"/>
        <v>-9686</v>
      </c>
      <c r="O12" s="96">
        <v>-3923</v>
      </c>
      <c r="P12" s="228">
        <v>-13609</v>
      </c>
      <c r="Q12" s="96">
        <v>-4871</v>
      </c>
      <c r="R12" s="96">
        <v>-5073</v>
      </c>
      <c r="S12" s="191">
        <f t="shared" si="4"/>
        <v>-9944</v>
      </c>
      <c r="T12" s="96">
        <v>-4742</v>
      </c>
      <c r="U12" s="191">
        <f t="shared" si="5"/>
        <v>-14686</v>
      </c>
      <c r="V12" s="96">
        <f t="shared" si="6"/>
        <v>-5058</v>
      </c>
      <c r="W12" s="228">
        <v>-19744</v>
      </c>
      <c r="X12" s="396">
        <f>'Business Unit Information'!AG80</f>
        <v>-4904</v>
      </c>
      <c r="Y12" s="96">
        <v>-5253</v>
      </c>
      <c r="Z12" s="191">
        <f t="shared" si="0"/>
        <v>-10157</v>
      </c>
    </row>
    <row r="13" spans="1:26" x14ac:dyDescent="0.35">
      <c r="A13" s="95" t="s">
        <v>217</v>
      </c>
      <c r="B13" s="95" t="s">
        <v>171</v>
      </c>
      <c r="C13" s="96">
        <v>-2881</v>
      </c>
      <c r="D13" s="96">
        <v>-2107</v>
      </c>
      <c r="E13" s="191">
        <f>C13+D13</f>
        <v>-4988</v>
      </c>
      <c r="F13" s="96">
        <v>-2392</v>
      </c>
      <c r="G13" s="191">
        <f>E13+F13</f>
        <v>-7380</v>
      </c>
      <c r="H13" s="96">
        <v>-1811</v>
      </c>
      <c r="I13" s="228">
        <v>-9191</v>
      </c>
      <c r="J13" s="96">
        <v>-1954</v>
      </c>
      <c r="K13" s="96">
        <v>-2476</v>
      </c>
      <c r="L13" s="191">
        <f>J13+K13</f>
        <v>-4430</v>
      </c>
      <c r="M13" s="96">
        <v>-2090</v>
      </c>
      <c r="N13" s="191">
        <f>L13+M13</f>
        <v>-6520</v>
      </c>
      <c r="O13" s="96">
        <v>-2872</v>
      </c>
      <c r="P13" s="228">
        <v>-9392</v>
      </c>
      <c r="Q13" s="96">
        <v>-1801</v>
      </c>
      <c r="R13" s="96">
        <v>-2517</v>
      </c>
      <c r="S13" s="191">
        <f>Q13+R13</f>
        <v>-4318</v>
      </c>
      <c r="T13" s="96">
        <v>-2651</v>
      </c>
      <c r="U13" s="191">
        <f>S13+T13</f>
        <v>-6969</v>
      </c>
      <c r="V13" s="96">
        <f t="shared" si="6"/>
        <v>-3658</v>
      </c>
      <c r="W13" s="228">
        <v>-10627</v>
      </c>
      <c r="X13" s="396">
        <f>'Business Unit Information'!AG56</f>
        <v>-2635</v>
      </c>
      <c r="Y13" s="96">
        <v>-2994</v>
      </c>
      <c r="Z13" s="191">
        <f t="shared" si="0"/>
        <v>-5629</v>
      </c>
    </row>
    <row r="14" spans="1:26" x14ac:dyDescent="0.35">
      <c r="A14" s="102" t="s">
        <v>218</v>
      </c>
      <c r="B14" s="102" t="s">
        <v>218</v>
      </c>
      <c r="C14" s="96">
        <v>-715</v>
      </c>
      <c r="D14" s="96">
        <v>-336</v>
      </c>
      <c r="E14" s="191">
        <f t="shared" si="1"/>
        <v>-1051</v>
      </c>
      <c r="F14" s="96">
        <v>-349</v>
      </c>
      <c r="G14" s="191">
        <f t="shared" si="1"/>
        <v>-1400</v>
      </c>
      <c r="H14" s="96">
        <v>-318</v>
      </c>
      <c r="I14" s="228">
        <v>-1718</v>
      </c>
      <c r="J14" s="96">
        <v>-729</v>
      </c>
      <c r="K14" s="96">
        <v>-518</v>
      </c>
      <c r="L14" s="191">
        <f t="shared" si="2"/>
        <v>-1247</v>
      </c>
      <c r="M14" s="96">
        <v>-477</v>
      </c>
      <c r="N14" s="191">
        <f t="shared" si="3"/>
        <v>-1724</v>
      </c>
      <c r="O14" s="96">
        <v>-445</v>
      </c>
      <c r="P14" s="228">
        <v>-2169</v>
      </c>
      <c r="Q14" s="96">
        <v>-810</v>
      </c>
      <c r="R14" s="96">
        <v>-1260</v>
      </c>
      <c r="S14" s="191">
        <f t="shared" si="4"/>
        <v>-2070</v>
      </c>
      <c r="T14" s="96">
        <v>-417</v>
      </c>
      <c r="U14" s="191">
        <f t="shared" si="5"/>
        <v>-2487</v>
      </c>
      <c r="V14" s="96">
        <f t="shared" si="6"/>
        <v>-340</v>
      </c>
      <c r="W14" s="228">
        <v>-2827</v>
      </c>
      <c r="X14" s="396">
        <v>-906</v>
      </c>
      <c r="Y14" s="96">
        <v>-506</v>
      </c>
      <c r="Z14" s="191">
        <f t="shared" si="0"/>
        <v>-1412</v>
      </c>
    </row>
    <row r="15" spans="1:26" x14ac:dyDescent="0.35">
      <c r="A15" s="95" t="s">
        <v>657</v>
      </c>
      <c r="B15" s="95" t="s">
        <v>658</v>
      </c>
      <c r="C15" s="96">
        <v>0</v>
      </c>
      <c r="D15" s="96">
        <v>0</v>
      </c>
      <c r="E15" s="191">
        <f t="shared" si="1"/>
        <v>0</v>
      </c>
      <c r="F15" s="96">
        <v>0</v>
      </c>
      <c r="G15" s="191">
        <f t="shared" si="1"/>
        <v>0</v>
      </c>
      <c r="H15" s="96">
        <v>0</v>
      </c>
      <c r="I15" s="228">
        <v>0</v>
      </c>
      <c r="J15" s="96">
        <v>0</v>
      </c>
      <c r="K15" s="96">
        <v>0</v>
      </c>
      <c r="L15" s="191">
        <f t="shared" si="2"/>
        <v>0</v>
      </c>
      <c r="M15" s="96">
        <v>0</v>
      </c>
      <c r="N15" s="191">
        <f t="shared" si="3"/>
        <v>0</v>
      </c>
      <c r="O15" s="96">
        <v>0</v>
      </c>
      <c r="P15" s="228">
        <v>0</v>
      </c>
      <c r="Q15" s="96">
        <v>0</v>
      </c>
      <c r="R15" s="96">
        <v>0</v>
      </c>
      <c r="S15" s="191">
        <f t="shared" si="4"/>
        <v>0</v>
      </c>
      <c r="T15" s="96">
        <v>0</v>
      </c>
      <c r="U15" s="191">
        <f t="shared" si="5"/>
        <v>0</v>
      </c>
      <c r="V15" s="96" t="s">
        <v>178</v>
      </c>
      <c r="W15" s="228" t="s">
        <v>178</v>
      </c>
      <c r="X15" s="396">
        <v>0</v>
      </c>
      <c r="Y15" s="96">
        <v>0</v>
      </c>
      <c r="Z15" s="191">
        <f t="shared" ref="Z15" si="7">X15+Y15</f>
        <v>0</v>
      </c>
    </row>
    <row r="16" spans="1:26" x14ac:dyDescent="0.35">
      <c r="A16" s="98" t="s">
        <v>71</v>
      </c>
      <c r="B16" s="98" t="s">
        <v>72</v>
      </c>
      <c r="C16" s="99">
        <v>9887</v>
      </c>
      <c r="D16" s="99">
        <v>10237</v>
      </c>
      <c r="E16" s="192">
        <f t="shared" si="1"/>
        <v>20124</v>
      </c>
      <c r="F16" s="99">
        <v>7550</v>
      </c>
      <c r="G16" s="192">
        <f t="shared" si="1"/>
        <v>27674</v>
      </c>
      <c r="H16" s="99">
        <v>9178</v>
      </c>
      <c r="I16" s="100">
        <v>36852</v>
      </c>
      <c r="J16" s="99">
        <v>13222</v>
      </c>
      <c r="K16" s="99">
        <v>11028</v>
      </c>
      <c r="L16" s="192">
        <f t="shared" si="2"/>
        <v>24250</v>
      </c>
      <c r="M16" s="99">
        <v>17059</v>
      </c>
      <c r="N16" s="192">
        <f t="shared" si="3"/>
        <v>41309</v>
      </c>
      <c r="O16" s="99">
        <v>9009</v>
      </c>
      <c r="P16" s="100">
        <f>N16+O16</f>
        <v>50318</v>
      </c>
      <c r="Q16" s="99">
        <v>14224</v>
      </c>
      <c r="R16" s="99">
        <v>8484.6313693808042</v>
      </c>
      <c r="S16" s="192">
        <f t="shared" si="4"/>
        <v>22708.631369380804</v>
      </c>
      <c r="T16" s="99">
        <v>14828.368630619196</v>
      </c>
      <c r="U16" s="192">
        <f t="shared" si="5"/>
        <v>37537</v>
      </c>
      <c r="V16" s="99">
        <f t="shared" si="6"/>
        <v>5782</v>
      </c>
      <c r="W16" s="100">
        <v>43319</v>
      </c>
      <c r="X16" s="395">
        <f>SUM(X10:X15)</f>
        <v>11008</v>
      </c>
      <c r="Y16" s="99">
        <f>SUM(Y10:Y15)</f>
        <v>12785</v>
      </c>
      <c r="Z16" s="192">
        <f>SUM(X16:Y16)</f>
        <v>23793</v>
      </c>
    </row>
    <row r="19" spans="1:26" ht="15" thickBot="1" x14ac:dyDescent="0.4">
      <c r="A19" s="21" t="s">
        <v>212</v>
      </c>
      <c r="B19" s="21" t="s">
        <v>213</v>
      </c>
      <c r="C19" s="22"/>
      <c r="D19" s="22"/>
      <c r="E19" s="22"/>
      <c r="F19" s="22"/>
      <c r="G19" s="22"/>
      <c r="H19" s="23"/>
      <c r="I19" s="22"/>
      <c r="J19" s="22"/>
      <c r="K19" s="22"/>
      <c r="L19" s="22"/>
      <c r="M19" s="22"/>
      <c r="N19" s="22"/>
      <c r="O19" s="22"/>
      <c r="P19" s="22"/>
      <c r="Q19" s="22"/>
      <c r="R19" s="22"/>
      <c r="S19" s="22"/>
      <c r="T19" s="22"/>
      <c r="U19" s="22"/>
      <c r="V19" s="22"/>
      <c r="W19" s="22"/>
      <c r="X19" s="22"/>
      <c r="Y19" s="22"/>
      <c r="Z19" s="22"/>
    </row>
    <row r="20" spans="1:26" x14ac:dyDescent="0.35">
      <c r="A20" s="102" t="s">
        <v>165</v>
      </c>
      <c r="B20" s="102" t="s">
        <v>677</v>
      </c>
      <c r="C20" s="24">
        <f t="shared" ref="C20:U20" si="8">C10/C$8</f>
        <v>0.62289908760375934</v>
      </c>
      <c r="D20" s="24">
        <f t="shared" si="8"/>
        <v>0.53387533875338755</v>
      </c>
      <c r="E20" s="177">
        <f t="shared" si="8"/>
        <v>0.57720129985754987</v>
      </c>
      <c r="F20" s="24">
        <f t="shared" si="8"/>
        <v>0.49030830443200918</v>
      </c>
      <c r="G20" s="177">
        <f t="shared" si="8"/>
        <v>0.54736034489057761</v>
      </c>
      <c r="H20" s="24">
        <f t="shared" si="8"/>
        <v>0.48019652305366589</v>
      </c>
      <c r="I20" s="25">
        <f t="shared" si="8"/>
        <v>0.52863127387695952</v>
      </c>
      <c r="J20" s="24">
        <f t="shared" si="8"/>
        <v>0.60150513205403866</v>
      </c>
      <c r="K20" s="24">
        <f t="shared" si="8"/>
        <v>0.54566744730679162</v>
      </c>
      <c r="L20" s="177">
        <f t="shared" si="8"/>
        <v>0.57270254078315441</v>
      </c>
      <c r="M20" s="24">
        <f t="shared" si="8"/>
        <v>0.57114521688235675</v>
      </c>
      <c r="N20" s="177">
        <f t="shared" si="8"/>
        <v>0.57211606164320661</v>
      </c>
      <c r="O20" s="24">
        <f t="shared" si="8"/>
        <v>0.48792918883509884</v>
      </c>
      <c r="P20" s="25">
        <f t="shared" si="8"/>
        <v>0.54879247153809385</v>
      </c>
      <c r="Q20" s="24">
        <f t="shared" si="8"/>
        <v>0.56932416298114918</v>
      </c>
      <c r="R20" s="24">
        <f t="shared" si="8"/>
        <v>0.53460512224783552</v>
      </c>
      <c r="S20" s="177">
        <f t="shared" si="8"/>
        <v>0.55262744413407816</v>
      </c>
      <c r="T20" s="24">
        <f t="shared" si="8"/>
        <v>0.59850754601112832</v>
      </c>
      <c r="U20" s="177">
        <f t="shared" si="8"/>
        <v>0.56727689738973364</v>
      </c>
      <c r="V20" s="24">
        <f t="shared" ref="V20:X20" si="9">V10/V$8</f>
        <v>0.4484477138127016</v>
      </c>
      <c r="W20" s="25">
        <f t="shared" si="9"/>
        <v>0.53659074080603641</v>
      </c>
      <c r="X20" s="83">
        <f t="shared" si="9"/>
        <v>0.54832144750568634</v>
      </c>
      <c r="Y20" s="24">
        <f>Y10/Y$8</f>
        <v>0.55349738669039028</v>
      </c>
      <c r="Z20" s="177">
        <f>Z10/Z$8</f>
        <v>0.55100477680777471</v>
      </c>
    </row>
    <row r="21" spans="1:26" x14ac:dyDescent="0.35">
      <c r="A21" s="102" t="s">
        <v>215</v>
      </c>
      <c r="B21" s="95" t="s">
        <v>167</v>
      </c>
      <c r="C21" s="24">
        <f t="shared" ref="C21:D24" si="10">C11/C$8*-1</f>
        <v>0.24037867874048158</v>
      </c>
      <c r="D21" s="24">
        <f t="shared" si="10"/>
        <v>0.19338753387533875</v>
      </c>
      <c r="E21" s="177">
        <f t="shared" ref="E21:G21" si="11">E11/E$8*-1</f>
        <v>0.21625712250712251</v>
      </c>
      <c r="F21" s="24">
        <f>F11/F$8*-1</f>
        <v>0.20283410285325221</v>
      </c>
      <c r="G21" s="177">
        <f t="shared" si="11"/>
        <v>0.21164736399839246</v>
      </c>
      <c r="H21" s="24">
        <f>H11/H$8*-1</f>
        <v>0.21245275888133031</v>
      </c>
      <c r="I21" s="25">
        <f t="shared" ref="I21:L24" si="12">I11/I$8*-1</f>
        <v>0.21187195362929787</v>
      </c>
      <c r="J21" s="24">
        <f t="shared" si="12"/>
        <v>0.21706762951843889</v>
      </c>
      <c r="K21" s="24">
        <f t="shared" si="12"/>
        <v>0.2191123550579768</v>
      </c>
      <c r="L21" s="177">
        <f t="shared" si="12"/>
        <v>0.21812235437393807</v>
      </c>
      <c r="M21" s="24">
        <f>M11/M$8*-1</f>
        <v>0.19499902451713599</v>
      </c>
      <c r="N21" s="177">
        <f t="shared" ref="N21" si="13">N11/N$8*-1</f>
        <v>0.20941424259308014</v>
      </c>
      <c r="O21" s="24">
        <f>O11/O$8*-1</f>
        <v>0.22831487961143332</v>
      </c>
      <c r="P21" s="25">
        <f t="shared" ref="P21:S24" si="14">P11/P$8*-1</f>
        <v>0.21465057809097188</v>
      </c>
      <c r="Q21" s="24">
        <f t="shared" si="14"/>
        <v>0.20431499823431484</v>
      </c>
      <c r="R21" s="24">
        <f t="shared" si="14"/>
        <v>0.21996203929027636</v>
      </c>
      <c r="S21" s="177">
        <f t="shared" si="14"/>
        <v>0.21183980997398041</v>
      </c>
      <c r="T21" s="24">
        <f>T11/T$8*-1</f>
        <v>0.1772267035632954</v>
      </c>
      <c r="U21" s="177">
        <f>U11/U$8*-1</f>
        <v>0.2007878928323143</v>
      </c>
      <c r="V21" s="24">
        <f>V11/V$8*-1</f>
        <v>0.19520062808281136</v>
      </c>
      <c r="W21" s="25">
        <f>W11/W$8*-1</f>
        <v>0.19934505130284547</v>
      </c>
      <c r="X21" s="83">
        <f t="shared" ref="X21" si="15">X11/X$8*-1</f>
        <v>0.21563798676312143</v>
      </c>
      <c r="Y21" s="24">
        <f t="shared" ref="Y21:Z24" si="16">Y11/Y$8*-1</f>
        <v>0.21133652120037491</v>
      </c>
      <c r="Z21" s="177">
        <f>Z11/Z$8*-1</f>
        <v>0.21340800527096029</v>
      </c>
    </row>
    <row r="22" spans="1:26" x14ac:dyDescent="0.35">
      <c r="A22" s="102" t="s">
        <v>216</v>
      </c>
      <c r="B22" s="95" t="s">
        <v>169</v>
      </c>
      <c r="C22" s="24">
        <f t="shared" si="10"/>
        <v>7.4203654158377347E-2</v>
      </c>
      <c r="D22" s="24">
        <f t="shared" si="10"/>
        <v>6.558265582655827E-2</v>
      </c>
      <c r="E22" s="177">
        <f t="shared" ref="E22:G22" si="17">E12/E$8*-1</f>
        <v>6.9778311965811968E-2</v>
      </c>
      <c r="F22" s="24">
        <f>F12/F$8*-1</f>
        <v>6.8512096002042597E-2</v>
      </c>
      <c r="G22" s="177">
        <f t="shared" si="17"/>
        <v>6.9343465711884836E-2</v>
      </c>
      <c r="H22" s="24">
        <f>H12/H$8*-1</f>
        <v>5.4081632653061228E-2</v>
      </c>
      <c r="I22" s="25">
        <f t="shared" si="12"/>
        <v>6.5087603741272565E-2</v>
      </c>
      <c r="J22" s="24">
        <f t="shared" si="12"/>
        <v>6.1807781248732201E-2</v>
      </c>
      <c r="K22" s="24">
        <f t="shared" si="12"/>
        <v>5.9576169532187126E-2</v>
      </c>
      <c r="L22" s="177">
        <f t="shared" si="12"/>
        <v>6.0656655437590232E-2</v>
      </c>
      <c r="M22" s="24">
        <f>M12/M$8*-1</f>
        <v>5.7065747545034795E-2</v>
      </c>
      <c r="N22" s="177">
        <f t="shared" ref="N22" si="18">N12/N$8*-1</f>
        <v>5.9304340372381789E-2</v>
      </c>
      <c r="O22" s="24">
        <f>O12/O$8*-1</f>
        <v>6.2678745466455771E-2</v>
      </c>
      <c r="P22" s="25">
        <f t="shared" si="14"/>
        <v>6.0239203951911333E-2</v>
      </c>
      <c r="Q22" s="24">
        <f t="shared" si="14"/>
        <v>8.1910975835337241E-2</v>
      </c>
      <c r="R22" s="24">
        <f t="shared" si="14"/>
        <v>9.2080663605176707E-2</v>
      </c>
      <c r="S22" s="177">
        <f t="shared" si="14"/>
        <v>8.6801675977653633E-2</v>
      </c>
      <c r="T22" s="24">
        <f>T12/T$8*-1</f>
        <v>8.824459869363753E-2</v>
      </c>
      <c r="U22" s="177">
        <f t="shared" ref="U22" si="19">U12/U$8*-1</f>
        <v>8.7262399210918787E-2</v>
      </c>
      <c r="V22" s="24">
        <f t="shared" ref="V22:X24" si="20">V12/V$8*-1</f>
        <v>8.6327251625676296E-2</v>
      </c>
      <c r="W22" s="25">
        <f t="shared" si="20"/>
        <v>8.7020908994746307E-2</v>
      </c>
      <c r="X22" s="83">
        <f t="shared" si="20"/>
        <v>8.3867768029688913E-2</v>
      </c>
      <c r="Y22" s="24">
        <f t="shared" si="16"/>
        <v>8.3451157322827138E-2</v>
      </c>
      <c r="Z22" s="177">
        <f>Z12/Z$8*-1</f>
        <v>8.3651787184977761E-2</v>
      </c>
    </row>
    <row r="23" spans="1:26" x14ac:dyDescent="0.35">
      <c r="A23" s="102" t="s">
        <v>217</v>
      </c>
      <c r="B23" s="95" t="s">
        <v>171</v>
      </c>
      <c r="C23" s="24">
        <f t="shared" si="10"/>
        <v>6.5880039331366769E-2</v>
      </c>
      <c r="D23" s="24">
        <f t="shared" si="10"/>
        <v>4.5680216802168022E-2</v>
      </c>
      <c r="E23" s="177">
        <f t="shared" ref="E23:G23" si="21">E13/E$8*-1</f>
        <v>5.5511039886039885E-2</v>
      </c>
      <c r="F23" s="24">
        <f>F13/F$8*-1</f>
        <v>5.0894699887231644E-2</v>
      </c>
      <c r="G23" s="177">
        <f t="shared" si="21"/>
        <v>5.3925687771729201E-2</v>
      </c>
      <c r="H23" s="24">
        <f>H13/H$8*-1</f>
        <v>3.4221466364323508E-2</v>
      </c>
      <c r="I23" s="25">
        <f t="shared" si="12"/>
        <v>4.8431036754050846E-2</v>
      </c>
      <c r="J23" s="24">
        <f t="shared" si="12"/>
        <v>3.9636496409590653E-2</v>
      </c>
      <c r="K23" s="24">
        <f t="shared" si="12"/>
        <v>4.714304754288761E-2</v>
      </c>
      <c r="L23" s="177">
        <f t="shared" si="12"/>
        <v>4.3508578948919158E-2</v>
      </c>
      <c r="M23" s="24">
        <f>M13/M$8*-1</f>
        <v>3.3979319763282827E-2</v>
      </c>
      <c r="N23" s="177">
        <f t="shared" ref="N23" si="22">N13/N$8*-1</f>
        <v>3.9919915262020364E-2</v>
      </c>
      <c r="O23" s="24">
        <f>O13/O$8*-1</f>
        <v>4.5886657399862599E-2</v>
      </c>
      <c r="P23" s="25">
        <f t="shared" si="14"/>
        <v>4.1572974025744079E-2</v>
      </c>
      <c r="Q23" s="24">
        <f t="shared" si="14"/>
        <v>3.0285704676543294E-2</v>
      </c>
      <c r="R23" s="24">
        <f t="shared" si="14"/>
        <v>4.5686384840179332E-2</v>
      </c>
      <c r="S23" s="177">
        <f t="shared" si="14"/>
        <v>3.7692039106145249E-2</v>
      </c>
      <c r="T23" s="24">
        <f>T13/T$8*-1</f>
        <v>4.9332861901483151E-2</v>
      </c>
      <c r="U23" s="177">
        <f t="shared" ref="U23" si="23">U13/U$8*-1</f>
        <v>4.1408937770726753E-2</v>
      </c>
      <c r="V23" s="24">
        <f t="shared" si="20"/>
        <v>6.2432796845931969E-2</v>
      </c>
      <c r="W23" s="25">
        <f t="shared" si="20"/>
        <v>4.6838087514544623E-2</v>
      </c>
      <c r="X23" s="83">
        <f t="shared" si="20"/>
        <v>4.5063533596702753E-2</v>
      </c>
      <c r="Y23" s="24">
        <f t="shared" si="16"/>
        <v>4.7563823534084226E-2</v>
      </c>
      <c r="Z23" s="177">
        <f>Z13/Z$8*-1</f>
        <v>4.6359743040685228E-2</v>
      </c>
    </row>
    <row r="24" spans="1:26" x14ac:dyDescent="0.35">
      <c r="A24" s="102" t="s">
        <v>218</v>
      </c>
      <c r="B24" s="102" t="s">
        <v>218</v>
      </c>
      <c r="C24" s="24">
        <f t="shared" si="10"/>
        <v>1.6349957695913655E-2</v>
      </c>
      <c r="D24" s="24">
        <f t="shared" si="10"/>
        <v>7.2845528455284551E-3</v>
      </c>
      <c r="E24" s="177">
        <f t="shared" ref="E24:G24" si="24">E14/E$8*-1</f>
        <v>1.1696492165242165E-2</v>
      </c>
      <c r="F24" s="24">
        <f>F14/F$8*-1</f>
        <v>7.4256899082959212E-3</v>
      </c>
      <c r="G24" s="177">
        <f t="shared" si="24"/>
        <v>1.0229805268349714E-2</v>
      </c>
      <c r="H24" s="24">
        <f>H14/H$8*-1</f>
        <v>6.0090702947845805E-3</v>
      </c>
      <c r="I24" s="25">
        <f t="shared" si="12"/>
        <v>9.0528257146620991E-3</v>
      </c>
      <c r="J24" s="24">
        <f t="shared" si="12"/>
        <v>1.4787618158951682E-2</v>
      </c>
      <c r="K24" s="24">
        <f t="shared" si="12"/>
        <v>9.8627215780354525E-3</v>
      </c>
      <c r="L24" s="177">
        <f t="shared" si="12"/>
        <v>1.22472230133865E-2</v>
      </c>
      <c r="M24" s="24">
        <f>M14/M$8*-1</f>
        <v>7.7550887689406258E-3</v>
      </c>
      <c r="N24" s="177">
        <f t="shared" ref="N24" si="25">N14/N$8*-1</f>
        <v>1.0555511336153851E-2</v>
      </c>
      <c r="O24" s="24">
        <f>O14/O$8*-1</f>
        <v>7.1098755372349777E-3</v>
      </c>
      <c r="P24" s="25">
        <f t="shared" si="14"/>
        <v>9.6009136139095941E-3</v>
      </c>
      <c r="Q24" s="24">
        <f t="shared" si="14"/>
        <v>1.3620999882287656E-2</v>
      </c>
      <c r="R24" s="24">
        <f t="shared" si="14"/>
        <v>2.2870419109505744E-2</v>
      </c>
      <c r="S24" s="177">
        <f t="shared" si="14"/>
        <v>1.8069134078212291E-2</v>
      </c>
      <c r="T24" s="24">
        <f>T14/T$8*-1</f>
        <v>7.7600163760537435E-3</v>
      </c>
      <c r="U24" s="177">
        <f t="shared" ref="U24" si="26">U14/U$8*-1</f>
        <v>1.4777447013315745E-2</v>
      </c>
      <c r="V24" s="24">
        <f t="shared" si="20"/>
        <v>5.802939017937909E-3</v>
      </c>
      <c r="W24" s="25">
        <f t="shared" si="20"/>
        <v>1.2459892105355946E-2</v>
      </c>
      <c r="X24" s="83">
        <f t="shared" si="20"/>
        <v>1.5494330716741059E-2</v>
      </c>
      <c r="Y24" s="24">
        <f t="shared" si="16"/>
        <v>8.0385085865887183E-3</v>
      </c>
      <c r="Z24" s="177">
        <f t="shared" si="16"/>
        <v>1.1629056168670729E-2</v>
      </c>
    </row>
    <row r="25" spans="1:26" x14ac:dyDescent="0.35">
      <c r="A25" s="102" t="s">
        <v>659</v>
      </c>
      <c r="B25" s="102" t="s">
        <v>660</v>
      </c>
      <c r="C25" s="24">
        <f t="shared" ref="C25:U25" si="27">C16/C$8</f>
        <v>0.22608675767761999</v>
      </c>
      <c r="D25" s="24">
        <f t="shared" si="27"/>
        <v>0.22194037940379405</v>
      </c>
      <c r="E25" s="177">
        <f t="shared" si="27"/>
        <v>0.22395833333333334</v>
      </c>
      <c r="F25" s="24">
        <f t="shared" si="27"/>
        <v>0.16064171578118683</v>
      </c>
      <c r="G25" s="177">
        <f t="shared" si="27"/>
        <v>0.20221402214022141</v>
      </c>
      <c r="H25" s="24">
        <f t="shared" si="27"/>
        <v>0.17343159486016629</v>
      </c>
      <c r="I25" s="25">
        <f t="shared" si="27"/>
        <v>0.19418785403767619</v>
      </c>
      <c r="J25" s="24">
        <f t="shared" si="27"/>
        <v>0.26820560671832527</v>
      </c>
      <c r="K25" s="24">
        <f t="shared" si="27"/>
        <v>0.20997315359570456</v>
      </c>
      <c r="L25" s="177">
        <f t="shared" si="27"/>
        <v>0.23816772900932046</v>
      </c>
      <c r="M25" s="24">
        <f t="shared" si="27"/>
        <v>0.27734603628796256</v>
      </c>
      <c r="N25" s="177">
        <f t="shared" si="27"/>
        <v>0.25292205207957041</v>
      </c>
      <c r="O25" s="24">
        <f t="shared" si="27"/>
        <v>0.14393903082011217</v>
      </c>
      <c r="P25" s="25">
        <f t="shared" si="27"/>
        <v>0.22272880185555693</v>
      </c>
      <c r="Q25" s="24">
        <f t="shared" si="27"/>
        <v>0.23919148435266618</v>
      </c>
      <c r="R25" s="24">
        <f t="shared" si="27"/>
        <v>0.15400561540269733</v>
      </c>
      <c r="S25" s="177">
        <f t="shared" si="27"/>
        <v>0.19822478499808663</v>
      </c>
      <c r="T25" s="24">
        <f t="shared" si="27"/>
        <v>0.27594336547665849</v>
      </c>
      <c r="U25" s="177">
        <f t="shared" si="27"/>
        <v>0.22304022056245804</v>
      </c>
      <c r="V25" s="24">
        <f t="shared" ref="V25:X25" si="28">V16/V$8</f>
        <v>9.8684098240344076E-2</v>
      </c>
      <c r="W25" s="25">
        <f t="shared" si="28"/>
        <v>0.19092680088854413</v>
      </c>
      <c r="X25" s="83">
        <f t="shared" si="28"/>
        <v>0.18825782839943223</v>
      </c>
      <c r="Y25" s="24">
        <f>Y16/Y$8</f>
        <v>0.20310737604651533</v>
      </c>
      <c r="Z25" s="177">
        <f>Z16/Z$8</f>
        <v>0.19595618514248064</v>
      </c>
    </row>
    <row r="27" spans="1:26" s="160" customFormat="1" x14ac:dyDescent="0.35">
      <c r="A27" s="314" t="s">
        <v>661</v>
      </c>
      <c r="B27" s="314" t="s">
        <v>662</v>
      </c>
    </row>
    <row r="28" spans="1:26" s="160" customFormat="1" x14ac:dyDescent="0.35">
      <c r="A28" s="322" t="s">
        <v>663</v>
      </c>
      <c r="B28" s="314" t="s">
        <v>664</v>
      </c>
    </row>
    <row r="29" spans="1:26" s="160" customFormat="1" x14ac:dyDescent="0.35">
      <c r="Y29" s="453"/>
      <c r="Z29" s="453"/>
    </row>
    <row r="30" spans="1:26" ht="15" customHeight="1" thickBot="1" x14ac:dyDescent="0.65">
      <c r="I30" s="189"/>
      <c r="P30" s="189"/>
      <c r="Y30" s="353"/>
      <c r="Z30" s="353"/>
    </row>
    <row r="31" spans="1:26" ht="15" thickBot="1" x14ac:dyDescent="0.4">
      <c r="A31" s="282" t="s">
        <v>719</v>
      </c>
      <c r="B31" s="282" t="s">
        <v>719</v>
      </c>
      <c r="C31" s="101" t="s">
        <v>49</v>
      </c>
      <c r="D31" s="101" t="s">
        <v>50</v>
      </c>
      <c r="E31" s="101" t="s">
        <v>153</v>
      </c>
      <c r="F31" s="101" t="s">
        <v>51</v>
      </c>
      <c r="G31" s="101" t="s">
        <v>154</v>
      </c>
      <c r="H31" s="101" t="s">
        <v>52</v>
      </c>
      <c r="I31" s="101">
        <v>2021</v>
      </c>
      <c r="J31" s="101" t="s">
        <v>53</v>
      </c>
      <c r="K31" s="101" t="s">
        <v>54</v>
      </c>
      <c r="L31" s="101" t="s">
        <v>155</v>
      </c>
      <c r="M31" s="101" t="s">
        <v>55</v>
      </c>
      <c r="N31" s="101" t="s">
        <v>156</v>
      </c>
      <c r="O31" s="101" t="s">
        <v>56</v>
      </c>
      <c r="P31" s="101">
        <v>2022</v>
      </c>
      <c r="Q31" s="101" t="s">
        <v>57</v>
      </c>
      <c r="R31" s="101" t="s">
        <v>58</v>
      </c>
      <c r="S31" s="101" t="s">
        <v>159</v>
      </c>
      <c r="T31" s="101" t="s">
        <v>59</v>
      </c>
      <c r="U31" s="101" t="s">
        <v>160</v>
      </c>
      <c r="V31" s="101" t="s">
        <v>60</v>
      </c>
      <c r="W31" s="101">
        <v>2023</v>
      </c>
      <c r="X31" s="101" t="s">
        <v>61</v>
      </c>
      <c r="Y31" s="101" t="s">
        <v>1166</v>
      </c>
      <c r="Z31" s="101" t="s">
        <v>1167</v>
      </c>
    </row>
    <row r="32" spans="1:26" ht="15.5" thickTop="1" thickBot="1" x14ac:dyDescent="0.4">
      <c r="A32" s="282" t="s">
        <v>665</v>
      </c>
      <c r="B32" s="284" t="s">
        <v>666</v>
      </c>
      <c r="C32" s="91" t="s">
        <v>62</v>
      </c>
      <c r="D32" s="91" t="s">
        <v>62</v>
      </c>
      <c r="E32" s="91" t="s">
        <v>62</v>
      </c>
      <c r="F32" s="91" t="s">
        <v>62</v>
      </c>
      <c r="G32" s="91" t="s">
        <v>62</v>
      </c>
      <c r="H32" s="91" t="s">
        <v>62</v>
      </c>
      <c r="I32" s="91" t="s">
        <v>62</v>
      </c>
      <c r="J32" s="91" t="s">
        <v>62</v>
      </c>
      <c r="K32" s="91" t="s">
        <v>62</v>
      </c>
      <c r="L32" s="91" t="s">
        <v>62</v>
      </c>
      <c r="M32" s="91" t="s">
        <v>62</v>
      </c>
      <c r="N32" s="91" t="s">
        <v>62</v>
      </c>
      <c r="O32" s="91" t="s">
        <v>62</v>
      </c>
      <c r="P32" s="91" t="s">
        <v>62</v>
      </c>
      <c r="Q32" s="91" t="s">
        <v>62</v>
      </c>
      <c r="R32" s="91" t="s">
        <v>62</v>
      </c>
      <c r="S32" s="91" t="s">
        <v>62</v>
      </c>
      <c r="T32" s="91" t="s">
        <v>62</v>
      </c>
      <c r="U32" s="91" t="s">
        <v>62</v>
      </c>
      <c r="V32" s="91" t="s">
        <v>62</v>
      </c>
      <c r="W32" s="91" t="s">
        <v>62</v>
      </c>
      <c r="X32" s="91" t="s">
        <v>62</v>
      </c>
      <c r="Y32" s="91" t="s">
        <v>62</v>
      </c>
      <c r="Z32" s="91" t="s">
        <v>62</v>
      </c>
    </row>
    <row r="33" spans="1:26" ht="15" thickTop="1" x14ac:dyDescent="0.35">
      <c r="A33" s="34" t="s">
        <v>128</v>
      </c>
      <c r="B33" s="34" t="s">
        <v>129</v>
      </c>
      <c r="C33" s="8">
        <v>372</v>
      </c>
      <c r="D33" s="8">
        <v>631</v>
      </c>
      <c r="E33" s="174">
        <f>C33+D33</f>
        <v>1003</v>
      </c>
      <c r="F33" s="8">
        <v>206</v>
      </c>
      <c r="G33" s="174">
        <f>E33+F33</f>
        <v>1209</v>
      </c>
      <c r="H33" s="8">
        <v>514</v>
      </c>
      <c r="I33" s="9">
        <f>G33+H33</f>
        <v>1723</v>
      </c>
      <c r="J33" s="8">
        <v>738</v>
      </c>
      <c r="K33" s="8">
        <v>588</v>
      </c>
      <c r="L33" s="174">
        <f>J33+K33</f>
        <v>1326</v>
      </c>
      <c r="M33" s="8">
        <v>713</v>
      </c>
      <c r="N33" s="174">
        <f>L33+M33</f>
        <v>2039</v>
      </c>
      <c r="O33" s="8">
        <f>P33-N33</f>
        <v>547</v>
      </c>
      <c r="P33" s="360">
        <v>2586</v>
      </c>
      <c r="Q33" s="8">
        <v>1040</v>
      </c>
      <c r="R33" s="8">
        <v>833</v>
      </c>
      <c r="S33" s="174">
        <f>Q33+R33</f>
        <v>1873</v>
      </c>
      <c r="T33" s="8">
        <v>377</v>
      </c>
      <c r="U33" s="174">
        <f>S33+T33</f>
        <v>2250</v>
      </c>
      <c r="V33" s="262">
        <f>W33-U33</f>
        <v>1073</v>
      </c>
      <c r="W33" s="94">
        <v>3323</v>
      </c>
      <c r="X33" s="8">
        <v>385</v>
      </c>
      <c r="Y33" s="8">
        <f>Z33-X33</f>
        <v>1216</v>
      </c>
      <c r="Z33" s="174">
        <v>1601</v>
      </c>
    </row>
    <row r="34" spans="1:26" x14ac:dyDescent="0.35">
      <c r="A34" s="34" t="s">
        <v>130</v>
      </c>
      <c r="B34" s="34" t="s">
        <v>131</v>
      </c>
      <c r="C34" s="8">
        <v>22013</v>
      </c>
      <c r="D34" s="8">
        <v>20518</v>
      </c>
      <c r="E34" s="174">
        <f t="shared" ref="E34:G48" si="29">C34+D34</f>
        <v>42531</v>
      </c>
      <c r="F34" s="8">
        <v>21498</v>
      </c>
      <c r="G34" s="174">
        <f t="shared" si="29"/>
        <v>64029</v>
      </c>
      <c r="H34" s="8">
        <v>23231</v>
      </c>
      <c r="I34" s="9">
        <f t="shared" ref="I34:I48" si="30">G34+H34</f>
        <v>87260</v>
      </c>
      <c r="J34" s="8">
        <v>23765</v>
      </c>
      <c r="K34" s="8">
        <v>23496</v>
      </c>
      <c r="L34" s="174">
        <f t="shared" ref="L34:L48" si="31">J34+K34</f>
        <v>47261</v>
      </c>
      <c r="M34" s="8">
        <v>23701</v>
      </c>
      <c r="N34" s="174">
        <f t="shared" ref="N34:N48" si="32">L34+M34</f>
        <v>70962</v>
      </c>
      <c r="O34" s="8">
        <f>P34-N34</f>
        <v>23349</v>
      </c>
      <c r="P34" s="360">
        <v>94311</v>
      </c>
      <c r="Q34" s="8">
        <v>27902</v>
      </c>
      <c r="R34" s="8">
        <v>24998</v>
      </c>
      <c r="S34" s="174">
        <f t="shared" ref="S34:S48" si="33">Q34+R34</f>
        <v>52900</v>
      </c>
      <c r="T34" s="8">
        <v>24932</v>
      </c>
      <c r="U34" s="174">
        <f t="shared" ref="U34:U48" si="34">S34+T34</f>
        <v>77832</v>
      </c>
      <c r="V34" s="262">
        <f t="shared" ref="V34:V48" si="35">W34-U34</f>
        <v>25699</v>
      </c>
      <c r="W34" s="94">
        <v>103531</v>
      </c>
      <c r="X34" s="8">
        <v>30168</v>
      </c>
      <c r="Y34" s="8">
        <f>Z34-X34</f>
        <v>29805</v>
      </c>
      <c r="Z34" s="174">
        <v>59973</v>
      </c>
    </row>
    <row r="35" spans="1:26" x14ac:dyDescent="0.35">
      <c r="A35" s="256" t="s">
        <v>720</v>
      </c>
      <c r="B35" s="256" t="s">
        <v>721</v>
      </c>
      <c r="C35" s="8"/>
      <c r="D35" s="8"/>
      <c r="E35" s="174"/>
      <c r="F35" s="8"/>
      <c r="G35" s="174"/>
      <c r="H35" s="8"/>
      <c r="I35" s="9"/>
      <c r="J35" s="8"/>
      <c r="K35" s="8"/>
      <c r="L35" s="174"/>
      <c r="M35" s="8"/>
      <c r="N35" s="174"/>
      <c r="O35" s="8"/>
      <c r="P35" s="360"/>
      <c r="Q35" s="8"/>
      <c r="R35" s="8"/>
      <c r="S35" s="174"/>
      <c r="T35" s="8"/>
      <c r="U35" s="174"/>
      <c r="V35" s="262"/>
      <c r="W35" s="94"/>
      <c r="X35" s="8"/>
      <c r="Y35" s="8"/>
      <c r="Z35" s="174"/>
    </row>
    <row r="36" spans="1:26" x14ac:dyDescent="0.35">
      <c r="A36" s="257" t="s">
        <v>722</v>
      </c>
      <c r="B36" s="257" t="s">
        <v>723</v>
      </c>
      <c r="C36" s="8">
        <v>9341</v>
      </c>
      <c r="D36" s="8">
        <v>8891</v>
      </c>
      <c r="E36" s="174">
        <f t="shared" si="29"/>
        <v>18232</v>
      </c>
      <c r="F36" s="8">
        <v>8833</v>
      </c>
      <c r="G36" s="174">
        <f t="shared" si="29"/>
        <v>27065</v>
      </c>
      <c r="H36" s="8">
        <v>10573</v>
      </c>
      <c r="I36" s="9">
        <f t="shared" si="30"/>
        <v>37638</v>
      </c>
      <c r="J36" s="8">
        <v>9887</v>
      </c>
      <c r="K36" s="8">
        <f>L36-J36</f>
        <v>9778</v>
      </c>
      <c r="L36" s="174">
        <v>19665</v>
      </c>
      <c r="M36" s="8">
        <f>N36-L36</f>
        <v>9069</v>
      </c>
      <c r="N36" s="174">
        <v>28734</v>
      </c>
      <c r="O36" s="8">
        <f>P36-N36</f>
        <v>10593</v>
      </c>
      <c r="P36" s="360">
        <v>39327</v>
      </c>
      <c r="Q36" s="8">
        <v>11414</v>
      </c>
      <c r="R36" s="8">
        <f>S36-Q36</f>
        <v>11001</v>
      </c>
      <c r="S36" s="174">
        <v>22415</v>
      </c>
      <c r="T36" s="8">
        <f>U36-S36</f>
        <v>10506</v>
      </c>
      <c r="U36" s="174">
        <v>32921</v>
      </c>
      <c r="V36" s="262">
        <f t="shared" si="35"/>
        <v>11211</v>
      </c>
      <c r="W36" s="94">
        <v>44132</v>
      </c>
      <c r="X36" s="8">
        <v>12007</v>
      </c>
      <c r="Y36" s="8">
        <f>Z36-X36</f>
        <v>12438</v>
      </c>
      <c r="Z36" s="174">
        <v>24445</v>
      </c>
    </row>
    <row r="37" spans="1:26" x14ac:dyDescent="0.35">
      <c r="A37" s="257" t="s">
        <v>688</v>
      </c>
      <c r="B37" s="257" t="s">
        <v>689</v>
      </c>
      <c r="C37" s="8">
        <v>4841</v>
      </c>
      <c r="D37" s="8">
        <v>4264</v>
      </c>
      <c r="E37" s="174">
        <f t="shared" si="29"/>
        <v>9105</v>
      </c>
      <c r="F37" s="8">
        <v>5499</v>
      </c>
      <c r="G37" s="174">
        <f t="shared" si="29"/>
        <v>14604</v>
      </c>
      <c r="H37" s="8">
        <v>4765</v>
      </c>
      <c r="I37" s="9">
        <f t="shared" si="30"/>
        <v>19369</v>
      </c>
      <c r="J37" s="8">
        <v>5149</v>
      </c>
      <c r="K37" s="8">
        <f t="shared" ref="K37" si="36">L37-J37</f>
        <v>5090</v>
      </c>
      <c r="L37" s="174">
        <v>10239</v>
      </c>
      <c r="M37" s="8">
        <f t="shared" ref="M37" si="37">N37-L37</f>
        <v>5917</v>
      </c>
      <c r="N37" s="174">
        <v>16156</v>
      </c>
      <c r="O37" s="8">
        <f>P37-N37</f>
        <v>4654</v>
      </c>
      <c r="P37" s="360">
        <v>20810</v>
      </c>
      <c r="Q37" s="8">
        <v>6448</v>
      </c>
      <c r="R37" s="8">
        <f t="shared" ref="R37:T38" si="38">S37-Q37</f>
        <v>5104</v>
      </c>
      <c r="S37" s="174">
        <v>11552</v>
      </c>
      <c r="T37" s="8">
        <f t="shared" si="38"/>
        <v>5170</v>
      </c>
      <c r="U37" s="174">
        <v>16722</v>
      </c>
      <c r="V37" s="262">
        <f t="shared" si="35"/>
        <v>5126</v>
      </c>
      <c r="W37" s="94">
        <v>21848</v>
      </c>
      <c r="X37" s="8">
        <v>7054</v>
      </c>
      <c r="Y37" s="8">
        <f>Z37-X37</f>
        <v>6924</v>
      </c>
      <c r="Z37" s="174">
        <v>13978</v>
      </c>
    </row>
    <row r="38" spans="1:26" x14ac:dyDescent="0.35">
      <c r="A38" s="257" t="s">
        <v>724</v>
      </c>
      <c r="B38" s="257" t="s">
        <v>725</v>
      </c>
      <c r="C38" s="8">
        <v>2334</v>
      </c>
      <c r="D38" s="8">
        <v>2403</v>
      </c>
      <c r="E38" s="174">
        <f t="shared" si="29"/>
        <v>4737</v>
      </c>
      <c r="F38" s="8">
        <v>2443</v>
      </c>
      <c r="G38" s="174">
        <f t="shared" si="29"/>
        <v>7180</v>
      </c>
      <c r="H38" s="8">
        <v>3009</v>
      </c>
      <c r="I38" s="9">
        <f t="shared" si="30"/>
        <v>10189</v>
      </c>
      <c r="J38" s="8">
        <v>3011</v>
      </c>
      <c r="K38" s="8">
        <f t="shared" ref="K38" si="39">L38-J38</f>
        <v>3143</v>
      </c>
      <c r="L38" s="174">
        <v>6154</v>
      </c>
      <c r="M38" s="8">
        <f t="shared" ref="M38" si="40">N38-L38</f>
        <v>3099</v>
      </c>
      <c r="N38" s="174">
        <v>9253</v>
      </c>
      <c r="O38" s="8">
        <v>2650</v>
      </c>
      <c r="P38" s="360">
        <f t="shared" ref="P38:P47" si="41">N38+O38</f>
        <v>11903</v>
      </c>
      <c r="Q38" s="8">
        <v>3141</v>
      </c>
      <c r="R38" s="8">
        <f t="shared" si="38"/>
        <v>3094</v>
      </c>
      <c r="S38" s="174">
        <v>6235</v>
      </c>
      <c r="T38" s="8">
        <f t="shared" si="38"/>
        <v>3633</v>
      </c>
      <c r="U38" s="174">
        <v>9868</v>
      </c>
      <c r="V38" s="262">
        <f t="shared" si="35"/>
        <v>4047</v>
      </c>
      <c r="W38" s="94">
        <v>13915</v>
      </c>
      <c r="X38" s="8">
        <v>3897</v>
      </c>
      <c r="Y38" s="8">
        <f>Z38-X38</f>
        <v>4014</v>
      </c>
      <c r="Z38" s="174">
        <v>7911</v>
      </c>
    </row>
    <row r="39" spans="1:26" x14ac:dyDescent="0.35">
      <c r="A39" s="34" t="s">
        <v>132</v>
      </c>
      <c r="B39" s="34" t="s">
        <v>133</v>
      </c>
      <c r="C39" s="8">
        <v>18551</v>
      </c>
      <c r="D39" s="8">
        <v>22023</v>
      </c>
      <c r="E39" s="174">
        <f t="shared" si="29"/>
        <v>40574</v>
      </c>
      <c r="F39" s="8">
        <v>22901</v>
      </c>
      <c r="G39" s="174">
        <f t="shared" si="29"/>
        <v>63475</v>
      </c>
      <c r="H39" s="8">
        <v>25086</v>
      </c>
      <c r="I39" s="9">
        <f t="shared" si="30"/>
        <v>88561</v>
      </c>
      <c r="J39" s="8">
        <v>21721</v>
      </c>
      <c r="K39" s="8">
        <v>24687</v>
      </c>
      <c r="L39" s="174">
        <f t="shared" si="31"/>
        <v>46408</v>
      </c>
      <c r="M39" s="8">
        <v>33853</v>
      </c>
      <c r="N39" s="174">
        <f t="shared" si="32"/>
        <v>80261</v>
      </c>
      <c r="O39" s="8">
        <f>P39-N39</f>
        <v>34102</v>
      </c>
      <c r="P39" s="360">
        <v>114363</v>
      </c>
      <c r="Q39" s="8">
        <v>26790</v>
      </c>
      <c r="R39" s="8">
        <v>26092</v>
      </c>
      <c r="S39" s="174">
        <f t="shared" si="33"/>
        <v>52882</v>
      </c>
      <c r="T39" s="8">
        <v>24839</v>
      </c>
      <c r="U39" s="174">
        <f t="shared" si="34"/>
        <v>77721</v>
      </c>
      <c r="V39" s="262">
        <f t="shared" si="35"/>
        <v>27395</v>
      </c>
      <c r="W39" s="94">
        <v>105116</v>
      </c>
      <c r="X39" s="8">
        <v>24667</v>
      </c>
      <c r="Y39" s="8">
        <f>Z39-X39</f>
        <v>28621</v>
      </c>
      <c r="Z39" s="174">
        <v>53288</v>
      </c>
    </row>
    <row r="40" spans="1:26" x14ac:dyDescent="0.35">
      <c r="A40" s="256" t="s">
        <v>720</v>
      </c>
      <c r="B40" s="256" t="s">
        <v>721</v>
      </c>
      <c r="C40" s="8"/>
      <c r="D40" s="8"/>
      <c r="E40" s="174"/>
      <c r="F40" s="8"/>
      <c r="G40" s="174"/>
      <c r="H40" s="8"/>
      <c r="I40" s="9"/>
      <c r="J40" s="8"/>
      <c r="K40" s="8"/>
      <c r="L40" s="174"/>
      <c r="M40" s="8"/>
      <c r="N40" s="174"/>
      <c r="O40" s="8"/>
      <c r="P40" s="360"/>
      <c r="Q40" s="8"/>
      <c r="R40" s="8"/>
      <c r="S40" s="174"/>
      <c r="T40" s="8"/>
      <c r="U40" s="174"/>
      <c r="V40" s="262"/>
      <c r="W40" s="94"/>
      <c r="X40" s="8"/>
      <c r="Y40" s="8"/>
      <c r="Z40" s="174"/>
    </row>
    <row r="41" spans="1:26" x14ac:dyDescent="0.35">
      <c r="A41" s="257" t="s">
        <v>690</v>
      </c>
      <c r="B41" s="257" t="s">
        <v>691</v>
      </c>
      <c r="C41" s="8">
        <v>11815</v>
      </c>
      <c r="D41" s="8">
        <v>14401</v>
      </c>
      <c r="E41" s="174">
        <f>C41+D41</f>
        <v>26216</v>
      </c>
      <c r="F41" s="8">
        <v>14059</v>
      </c>
      <c r="G41" s="174">
        <f>E41+F41</f>
        <v>40275</v>
      </c>
      <c r="H41" s="8">
        <v>15613</v>
      </c>
      <c r="I41" s="9">
        <f>G41+H41</f>
        <v>55888</v>
      </c>
      <c r="J41" s="8">
        <v>13133</v>
      </c>
      <c r="K41" s="8">
        <f>L41-J41</f>
        <v>18059</v>
      </c>
      <c r="L41" s="174">
        <v>31192</v>
      </c>
      <c r="M41" s="8">
        <f>N41-L41</f>
        <v>22979</v>
      </c>
      <c r="N41" s="174">
        <v>54171</v>
      </c>
      <c r="O41" s="8">
        <f>P41-N41</f>
        <v>23642</v>
      </c>
      <c r="P41" s="360">
        <v>77813</v>
      </c>
      <c r="Q41" s="8">
        <v>18830</v>
      </c>
      <c r="R41" s="8">
        <f>S41-Q41</f>
        <v>17127</v>
      </c>
      <c r="S41" s="174">
        <v>35957</v>
      </c>
      <c r="T41" s="8">
        <f>U41-S41</f>
        <v>15340</v>
      </c>
      <c r="U41" s="174">
        <v>51297</v>
      </c>
      <c r="V41" s="262">
        <f t="shared" si="35"/>
        <v>17199</v>
      </c>
      <c r="W41" s="94">
        <v>68496</v>
      </c>
      <c r="X41" s="8">
        <v>13957</v>
      </c>
      <c r="Y41" s="8">
        <f>Z41-X41</f>
        <v>19092</v>
      </c>
      <c r="Z41" s="174">
        <v>33049</v>
      </c>
    </row>
    <row r="42" spans="1:26" x14ac:dyDescent="0.35">
      <c r="A42" s="257" t="s">
        <v>726</v>
      </c>
      <c r="B42" s="257" t="s">
        <v>727</v>
      </c>
      <c r="C42" s="8">
        <v>1255</v>
      </c>
      <c r="D42" s="8">
        <v>1446</v>
      </c>
      <c r="E42" s="174">
        <f t="shared" ref="E42:E44" si="42">C42+D42</f>
        <v>2701</v>
      </c>
      <c r="F42" s="8">
        <v>1504</v>
      </c>
      <c r="G42" s="174">
        <f t="shared" ref="G42:G44" si="43">E42+F42</f>
        <v>4205</v>
      </c>
      <c r="H42" s="8">
        <v>1891</v>
      </c>
      <c r="I42" s="9">
        <f t="shared" si="30"/>
        <v>6096</v>
      </c>
      <c r="J42" s="8">
        <v>1904</v>
      </c>
      <c r="K42" s="8">
        <f t="shared" ref="K42" si="44">L42-J42</f>
        <v>1091</v>
      </c>
      <c r="L42" s="174">
        <v>2995</v>
      </c>
      <c r="M42" s="8">
        <f t="shared" ref="M42" si="45">N42-L42</f>
        <v>2140</v>
      </c>
      <c r="N42" s="174">
        <v>5135</v>
      </c>
      <c r="O42" s="8">
        <v>2451</v>
      </c>
      <c r="P42" s="360">
        <f t="shared" ref="P42:P44" si="46">N42+O42</f>
        <v>7586</v>
      </c>
      <c r="Q42" s="8">
        <v>1560</v>
      </c>
      <c r="R42" s="8">
        <f t="shared" ref="R42:T44" si="47">S42-Q42</f>
        <v>1880</v>
      </c>
      <c r="S42" s="174">
        <v>3440</v>
      </c>
      <c r="T42" s="8">
        <f t="shared" si="47"/>
        <v>2418</v>
      </c>
      <c r="U42" s="174">
        <v>5858</v>
      </c>
      <c r="V42" s="262">
        <f t="shared" si="35"/>
        <v>2544</v>
      </c>
      <c r="W42" s="94">
        <v>8402</v>
      </c>
      <c r="X42" s="8">
        <v>1875</v>
      </c>
      <c r="Y42" s="8">
        <f>Z42-X42</f>
        <v>1611</v>
      </c>
      <c r="Z42" s="174">
        <v>3486</v>
      </c>
    </row>
    <row r="43" spans="1:26" x14ac:dyDescent="0.35">
      <c r="A43" s="257" t="s">
        <v>728</v>
      </c>
      <c r="B43" s="257" t="s">
        <v>729</v>
      </c>
      <c r="C43" s="8">
        <v>1864</v>
      </c>
      <c r="D43" s="8">
        <v>2579</v>
      </c>
      <c r="E43" s="174">
        <f t="shared" si="42"/>
        <v>4443</v>
      </c>
      <c r="F43" s="8">
        <v>2963</v>
      </c>
      <c r="G43" s="174">
        <f t="shared" si="43"/>
        <v>7406</v>
      </c>
      <c r="H43" s="8">
        <v>3288</v>
      </c>
      <c r="I43" s="9">
        <f t="shared" si="30"/>
        <v>10694</v>
      </c>
      <c r="J43" s="8">
        <v>2073</v>
      </c>
      <c r="K43" s="8">
        <f t="shared" ref="K43" si="48">L43-J43</f>
        <v>1348</v>
      </c>
      <c r="L43" s="174">
        <v>3421</v>
      </c>
      <c r="M43" s="8">
        <f t="shared" ref="M43" si="49">N43-L43</f>
        <v>2546</v>
      </c>
      <c r="N43" s="174">
        <v>5967</v>
      </c>
      <c r="O43" s="8">
        <v>2127</v>
      </c>
      <c r="P43" s="360">
        <f t="shared" si="46"/>
        <v>8094</v>
      </c>
      <c r="Q43" s="8">
        <v>995</v>
      </c>
      <c r="R43" s="8">
        <f t="shared" si="47"/>
        <v>2244</v>
      </c>
      <c r="S43" s="174">
        <v>3239</v>
      </c>
      <c r="T43" s="8">
        <f t="shared" si="47"/>
        <v>1905</v>
      </c>
      <c r="U43" s="174">
        <v>5144</v>
      </c>
      <c r="V43" s="262">
        <f t="shared" si="35"/>
        <v>2045</v>
      </c>
      <c r="W43" s="94">
        <v>7189</v>
      </c>
      <c r="X43" s="8">
        <v>2191</v>
      </c>
      <c r="Y43" s="8">
        <f>Z43-X43</f>
        <v>1531</v>
      </c>
      <c r="Z43" s="174">
        <v>3722</v>
      </c>
    </row>
    <row r="44" spans="1:26" x14ac:dyDescent="0.35">
      <c r="A44" s="257" t="s">
        <v>730</v>
      </c>
      <c r="B44" s="257" t="s">
        <v>731</v>
      </c>
      <c r="C44" s="8">
        <v>884</v>
      </c>
      <c r="D44" s="8">
        <v>939</v>
      </c>
      <c r="E44" s="174">
        <f t="shared" si="42"/>
        <v>1823</v>
      </c>
      <c r="F44" s="8">
        <v>2040</v>
      </c>
      <c r="G44" s="174">
        <f t="shared" si="43"/>
        <v>3863</v>
      </c>
      <c r="H44" s="8">
        <v>1348</v>
      </c>
      <c r="I44" s="9">
        <f t="shared" si="30"/>
        <v>5211</v>
      </c>
      <c r="J44" s="8">
        <v>1510</v>
      </c>
      <c r="K44" s="8">
        <f t="shared" ref="K44" si="50">L44-J44</f>
        <v>1656</v>
      </c>
      <c r="L44" s="174">
        <v>3166</v>
      </c>
      <c r="M44" s="8">
        <f t="shared" ref="M44" si="51">N44-L44</f>
        <v>2965</v>
      </c>
      <c r="N44" s="174">
        <v>6131</v>
      </c>
      <c r="O44" s="8">
        <v>1706</v>
      </c>
      <c r="P44" s="360">
        <f t="shared" si="46"/>
        <v>7837</v>
      </c>
      <c r="Q44" s="8">
        <v>1807</v>
      </c>
      <c r="R44" s="8">
        <f t="shared" si="47"/>
        <v>1235</v>
      </c>
      <c r="S44" s="174">
        <v>3042</v>
      </c>
      <c r="T44" s="8">
        <f t="shared" si="47"/>
        <v>2125</v>
      </c>
      <c r="U44" s="174">
        <v>5167</v>
      </c>
      <c r="V44" s="262">
        <f t="shared" si="35"/>
        <v>2207</v>
      </c>
      <c r="W44" s="94">
        <v>7374</v>
      </c>
      <c r="X44" s="8">
        <v>2395</v>
      </c>
      <c r="Y44" s="8">
        <f>Z44-X44</f>
        <v>3004</v>
      </c>
      <c r="Z44" s="174">
        <v>5399</v>
      </c>
    </row>
    <row r="45" spans="1:26" x14ac:dyDescent="0.35">
      <c r="A45" s="34" t="s">
        <v>134</v>
      </c>
      <c r="B45" s="34" t="s">
        <v>135</v>
      </c>
      <c r="C45" s="8">
        <v>0</v>
      </c>
      <c r="D45" s="8">
        <v>0</v>
      </c>
      <c r="E45" s="174">
        <f t="shared" si="29"/>
        <v>0</v>
      </c>
      <c r="F45" s="8">
        <v>0</v>
      </c>
      <c r="G45" s="174">
        <f t="shared" si="29"/>
        <v>0</v>
      </c>
      <c r="H45" s="8">
        <v>0</v>
      </c>
      <c r="I45" s="9">
        <f t="shared" si="30"/>
        <v>0</v>
      </c>
      <c r="J45" s="8">
        <v>0</v>
      </c>
      <c r="K45" s="8">
        <v>0</v>
      </c>
      <c r="L45" s="174">
        <f t="shared" si="31"/>
        <v>0</v>
      </c>
      <c r="M45" s="8">
        <v>0</v>
      </c>
      <c r="N45" s="174">
        <f t="shared" si="32"/>
        <v>0</v>
      </c>
      <c r="O45" s="8">
        <v>0</v>
      </c>
      <c r="P45" s="360">
        <f t="shared" si="41"/>
        <v>0</v>
      </c>
      <c r="Q45" s="8">
        <v>0</v>
      </c>
      <c r="R45" s="8">
        <v>0</v>
      </c>
      <c r="S45" s="174">
        <f t="shared" si="33"/>
        <v>0</v>
      </c>
      <c r="T45" s="8" t="s">
        <v>178</v>
      </c>
      <c r="U45" s="174">
        <v>0</v>
      </c>
      <c r="V45" s="262" t="s">
        <v>178</v>
      </c>
      <c r="W45" s="94" t="s">
        <v>178</v>
      </c>
      <c r="X45" s="8">
        <v>0</v>
      </c>
      <c r="Y45" s="8" t="s">
        <v>1176</v>
      </c>
      <c r="Z45" s="174" t="s">
        <v>1176</v>
      </c>
    </row>
    <row r="46" spans="1:26" x14ac:dyDescent="0.35">
      <c r="A46" s="34" t="s">
        <v>136</v>
      </c>
      <c r="B46" s="34" t="s">
        <v>137</v>
      </c>
      <c r="C46" s="8">
        <v>2026</v>
      </c>
      <c r="D46" s="8">
        <v>2393</v>
      </c>
      <c r="E46" s="174">
        <f t="shared" si="29"/>
        <v>4419</v>
      </c>
      <c r="F46" s="8">
        <v>2144</v>
      </c>
      <c r="G46" s="174">
        <f t="shared" si="29"/>
        <v>6563</v>
      </c>
      <c r="H46" s="8">
        <v>3542</v>
      </c>
      <c r="I46" s="9">
        <f t="shared" si="30"/>
        <v>10105</v>
      </c>
      <c r="J46" s="8">
        <v>2892</v>
      </c>
      <c r="K46" s="8">
        <v>3061</v>
      </c>
      <c r="L46" s="174">
        <f t="shared" si="31"/>
        <v>5953</v>
      </c>
      <c r="M46" s="8">
        <v>2732</v>
      </c>
      <c r="N46" s="174">
        <f t="shared" si="32"/>
        <v>8685</v>
      </c>
      <c r="O46" s="8">
        <f>P46-N46</f>
        <v>4036</v>
      </c>
      <c r="P46" s="360">
        <v>12721</v>
      </c>
      <c r="Q46" s="8">
        <v>3061</v>
      </c>
      <c r="R46" s="8">
        <v>2460</v>
      </c>
      <c r="S46" s="174">
        <f t="shared" si="33"/>
        <v>5521</v>
      </c>
      <c r="T46" s="8">
        <v>2807</v>
      </c>
      <c r="U46" s="174">
        <f t="shared" si="34"/>
        <v>8328</v>
      </c>
      <c r="V46" s="262">
        <f t="shared" si="35"/>
        <v>3538</v>
      </c>
      <c r="W46" s="94">
        <v>11866</v>
      </c>
      <c r="X46" s="8">
        <v>2669</v>
      </c>
      <c r="Y46" s="8">
        <f>Z46-X46</f>
        <v>2354</v>
      </c>
      <c r="Z46" s="174">
        <v>5023</v>
      </c>
    </row>
    <row r="47" spans="1:26" x14ac:dyDescent="0.35">
      <c r="A47" s="34" t="s">
        <v>138</v>
      </c>
      <c r="B47" s="34" t="s">
        <v>139</v>
      </c>
      <c r="C47" s="8">
        <v>363</v>
      </c>
      <c r="D47" s="8">
        <v>495</v>
      </c>
      <c r="E47" s="174">
        <f t="shared" si="29"/>
        <v>858</v>
      </c>
      <c r="F47" s="8">
        <v>166</v>
      </c>
      <c r="G47" s="174">
        <f t="shared" si="29"/>
        <v>1024</v>
      </c>
      <c r="H47" s="8">
        <v>300</v>
      </c>
      <c r="I47" s="9">
        <f t="shared" si="30"/>
        <v>1324</v>
      </c>
      <c r="J47" s="8">
        <v>40</v>
      </c>
      <c r="K47" s="8">
        <v>372</v>
      </c>
      <c r="L47" s="174">
        <f t="shared" si="31"/>
        <v>412</v>
      </c>
      <c r="M47" s="8">
        <v>384</v>
      </c>
      <c r="N47" s="174">
        <f t="shared" si="32"/>
        <v>796</v>
      </c>
      <c r="O47" s="8">
        <v>362</v>
      </c>
      <c r="P47" s="9">
        <f t="shared" si="41"/>
        <v>1158</v>
      </c>
      <c r="Q47" s="8">
        <v>491</v>
      </c>
      <c r="R47" s="8">
        <v>587</v>
      </c>
      <c r="S47" s="174">
        <f t="shared" si="33"/>
        <v>1078</v>
      </c>
      <c r="T47" s="8">
        <v>428</v>
      </c>
      <c r="U47" s="174">
        <f t="shared" si="34"/>
        <v>1506</v>
      </c>
      <c r="V47" s="262">
        <f t="shared" si="35"/>
        <v>397</v>
      </c>
      <c r="W47" s="94">
        <v>1903</v>
      </c>
      <c r="X47" s="8">
        <v>415</v>
      </c>
      <c r="Y47" s="8">
        <f>Z47-X47</f>
        <v>446</v>
      </c>
      <c r="Z47" s="174">
        <v>861</v>
      </c>
    </row>
    <row r="48" spans="1:26" x14ac:dyDescent="0.35">
      <c r="A48" s="34" t="s">
        <v>140</v>
      </c>
      <c r="B48" s="34" t="s">
        <v>141</v>
      </c>
      <c r="C48" s="8">
        <v>406</v>
      </c>
      <c r="D48" s="8">
        <v>65</v>
      </c>
      <c r="E48" s="174">
        <f t="shared" si="29"/>
        <v>471</v>
      </c>
      <c r="F48" s="8">
        <v>84</v>
      </c>
      <c r="G48" s="174">
        <f t="shared" si="29"/>
        <v>555</v>
      </c>
      <c r="H48" s="8">
        <v>247</v>
      </c>
      <c r="I48" s="9">
        <f t="shared" si="30"/>
        <v>802</v>
      </c>
      <c r="J48" s="8">
        <v>142</v>
      </c>
      <c r="K48" s="8">
        <v>316</v>
      </c>
      <c r="L48" s="174">
        <f t="shared" si="31"/>
        <v>458</v>
      </c>
      <c r="M48" s="8">
        <v>126</v>
      </c>
      <c r="N48" s="174">
        <f t="shared" si="32"/>
        <v>584</v>
      </c>
      <c r="O48" s="8">
        <f>P48-N48</f>
        <v>193</v>
      </c>
      <c r="P48" s="9">
        <v>777</v>
      </c>
      <c r="Q48" s="8">
        <v>183</v>
      </c>
      <c r="R48" s="8">
        <v>123</v>
      </c>
      <c r="S48" s="174">
        <f t="shared" si="33"/>
        <v>306</v>
      </c>
      <c r="T48" s="8">
        <v>354</v>
      </c>
      <c r="U48" s="174">
        <f t="shared" si="34"/>
        <v>660</v>
      </c>
      <c r="V48" s="262">
        <f t="shared" si="35"/>
        <v>489</v>
      </c>
      <c r="W48" s="94">
        <v>1149</v>
      </c>
      <c r="X48" s="8">
        <v>169</v>
      </c>
      <c r="Y48" s="8">
        <f>Z48-X48</f>
        <v>505</v>
      </c>
      <c r="Z48" s="174">
        <v>674</v>
      </c>
    </row>
    <row r="49" spans="1:26" x14ac:dyDescent="0.35">
      <c r="A49" s="11" t="s">
        <v>142</v>
      </c>
      <c r="B49" s="11" t="s">
        <v>64</v>
      </c>
      <c r="C49" s="12">
        <v>43731</v>
      </c>
      <c r="D49" s="12">
        <v>46125</v>
      </c>
      <c r="E49" s="173">
        <v>89856</v>
      </c>
      <c r="F49" s="12">
        <v>46999</v>
      </c>
      <c r="G49" s="173">
        <v>136855</v>
      </c>
      <c r="H49" s="12">
        <v>52920</v>
      </c>
      <c r="I49" s="13">
        <v>189775</v>
      </c>
      <c r="J49" s="12">
        <v>49298</v>
      </c>
      <c r="K49" s="12">
        <v>52520</v>
      </c>
      <c r="L49" s="173">
        <v>101818</v>
      </c>
      <c r="M49" s="12">
        <v>61509</v>
      </c>
      <c r="N49" s="173">
        <v>163327</v>
      </c>
      <c r="O49" s="12">
        <f>O33+O34+O39+O45+O46+O47+O48</f>
        <v>62589</v>
      </c>
      <c r="P49" s="13">
        <f>P33+P34+P39+P45+P46+P47+P48</f>
        <v>225916</v>
      </c>
      <c r="Q49" s="12">
        <v>59467</v>
      </c>
      <c r="R49" s="12">
        <v>55093</v>
      </c>
      <c r="S49" s="173">
        <v>114560</v>
      </c>
      <c r="T49" s="12">
        <v>53737</v>
      </c>
      <c r="U49" s="173">
        <v>168297</v>
      </c>
      <c r="V49" s="99">
        <f>W49-U49</f>
        <v>58591</v>
      </c>
      <c r="W49" s="100">
        <v>226888</v>
      </c>
      <c r="X49" s="12">
        <f>X33+X34+X39+X45+X46+X47+X48</f>
        <v>58473</v>
      </c>
      <c r="Y49" s="12">
        <f>Y33+Y34+Y39+Y46+Y47+Y48</f>
        <v>62947</v>
      </c>
      <c r="Z49" s="173">
        <f>Z33+Z34+Z39+Z46+Z47+Z48</f>
        <v>121420</v>
      </c>
    </row>
    <row r="50" spans="1:26" x14ac:dyDescent="0.35">
      <c r="P50" s="20"/>
    </row>
    <row r="51" spans="1:26" x14ac:dyDescent="0.35">
      <c r="V51" s="10"/>
    </row>
    <row r="52" spans="1:26" ht="15" thickBot="1" x14ac:dyDescent="0.4">
      <c r="A52" s="21" t="s">
        <v>732</v>
      </c>
      <c r="B52" s="161" t="s">
        <v>733</v>
      </c>
      <c r="C52" s="22"/>
      <c r="D52" s="22"/>
      <c r="E52" s="22"/>
      <c r="F52" s="22"/>
      <c r="G52" s="22"/>
      <c r="H52" s="23"/>
      <c r="I52" s="22"/>
      <c r="J52" s="22"/>
      <c r="K52" s="22"/>
      <c r="L52" s="22"/>
      <c r="M52" s="22"/>
      <c r="N52" s="22"/>
      <c r="O52" s="22"/>
      <c r="P52" s="22"/>
      <c r="Q52" s="22"/>
      <c r="R52" s="22"/>
      <c r="S52" s="22"/>
      <c r="T52" s="22"/>
      <c r="U52" s="22"/>
      <c r="V52" s="22"/>
      <c r="W52" s="22"/>
      <c r="X52" s="22"/>
      <c r="Y52" s="22"/>
      <c r="Z52" s="22"/>
    </row>
    <row r="53" spans="1:26" x14ac:dyDescent="0.35">
      <c r="A53" s="34" t="s">
        <v>128</v>
      </c>
      <c r="B53" s="34" t="s">
        <v>129</v>
      </c>
      <c r="C53" s="24">
        <f>C33/C$49</f>
        <v>8.5065514166152156E-3</v>
      </c>
      <c r="D53" s="24">
        <f>D33/D$49</f>
        <v>1.3680216802168021E-2</v>
      </c>
      <c r="E53" s="177">
        <f t="shared" ref="E53:G53" si="52">E33/E$49</f>
        <v>1.1162304131054131E-2</v>
      </c>
      <c r="F53" s="24">
        <f t="shared" si="52"/>
        <v>4.3830719802548986E-3</v>
      </c>
      <c r="G53" s="177">
        <f t="shared" si="52"/>
        <v>8.8341675495962873E-3</v>
      </c>
      <c r="H53" s="83">
        <f t="shared" ref="H53" si="53">H33/H$49</f>
        <v>9.7127739984882843E-3</v>
      </c>
      <c r="I53" s="25">
        <f t="shared" ref="I53:U53" si="54">I33/I$49</f>
        <v>9.0791727045185094E-3</v>
      </c>
      <c r="J53" s="83">
        <f t="shared" si="54"/>
        <v>1.4970181346099233E-2</v>
      </c>
      <c r="K53" s="83">
        <f t="shared" si="54"/>
        <v>1.1195734958111195E-2</v>
      </c>
      <c r="L53" s="177">
        <f t="shared" si="54"/>
        <v>1.3023237541495611E-2</v>
      </c>
      <c r="M53" s="83">
        <f t="shared" si="54"/>
        <v>1.1591799574046074E-2</v>
      </c>
      <c r="N53" s="177">
        <f t="shared" si="54"/>
        <v>1.2484157548966184E-2</v>
      </c>
      <c r="O53" s="83">
        <f t="shared" si="54"/>
        <v>8.7395548738596236E-3</v>
      </c>
      <c r="P53" s="25">
        <f t="shared" si="54"/>
        <v>1.1446732413817525E-2</v>
      </c>
      <c r="Q53" s="83">
        <f t="shared" si="54"/>
        <v>1.7488691206887855E-2</v>
      </c>
      <c r="R53" s="83">
        <f t="shared" si="54"/>
        <v>1.5119888189062132E-2</v>
      </c>
      <c r="S53" s="177">
        <f t="shared" si="54"/>
        <v>1.6349511173184356E-2</v>
      </c>
      <c r="T53" s="83">
        <f t="shared" si="54"/>
        <v>7.0156502968159737E-3</v>
      </c>
      <c r="U53" s="177">
        <f t="shared" si="54"/>
        <v>1.336922226777661E-2</v>
      </c>
      <c r="V53" s="83">
        <f t="shared" ref="V53:X53" si="55">V33/V$49</f>
        <v>1.8313392841904048E-2</v>
      </c>
      <c r="W53" s="25">
        <f t="shared" si="55"/>
        <v>1.4645992736504354E-2</v>
      </c>
      <c r="X53" s="83">
        <f t="shared" si="55"/>
        <v>6.5842354591007816E-3</v>
      </c>
      <c r="Y53" s="83">
        <f>Y33/Y$49</f>
        <v>1.9317838816782371E-2</v>
      </c>
      <c r="Z53" s="177">
        <f>Z33/Z$49</f>
        <v>1.3185636633174106E-2</v>
      </c>
    </row>
    <row r="54" spans="1:26" x14ac:dyDescent="0.35">
      <c r="A54" s="34" t="s">
        <v>130</v>
      </c>
      <c r="B54" s="34" t="s">
        <v>131</v>
      </c>
      <c r="C54" s="24">
        <f>C34/C$49</f>
        <v>0.50337289337083535</v>
      </c>
      <c r="D54" s="24">
        <f>D34/D$49</f>
        <v>0.44483468834688344</v>
      </c>
      <c r="E54" s="177">
        <f t="shared" ref="E54:G54" si="56">E34/E$49</f>
        <v>0.47332398504273504</v>
      </c>
      <c r="F54" s="24">
        <f>F34/F$49</f>
        <v>0.45741398753164964</v>
      </c>
      <c r="G54" s="177">
        <f t="shared" si="56"/>
        <v>0.46786014394797415</v>
      </c>
      <c r="H54" s="83">
        <f>H34/H$49</f>
        <v>0.43898337112622826</v>
      </c>
      <c r="I54" s="25">
        <f t="shared" ref="I54:U54" si="57">I34/I$49</f>
        <v>0.45980766697404823</v>
      </c>
      <c r="J54" s="83">
        <f t="shared" si="57"/>
        <v>0.48206823806239602</v>
      </c>
      <c r="K54" s="83">
        <f t="shared" si="57"/>
        <v>0.44737242955064738</v>
      </c>
      <c r="L54" s="177">
        <f t="shared" si="57"/>
        <v>0.46417136459172248</v>
      </c>
      <c r="M54" s="83">
        <f t="shared" si="57"/>
        <v>0.38532572469069565</v>
      </c>
      <c r="N54" s="177">
        <f t="shared" si="57"/>
        <v>0.43447807159869467</v>
      </c>
      <c r="O54" s="83">
        <f t="shared" si="57"/>
        <v>0.37305277285145955</v>
      </c>
      <c r="P54" s="25">
        <f t="shared" si="57"/>
        <v>0.41746047203385328</v>
      </c>
      <c r="Q54" s="83">
        <f t="shared" si="57"/>
        <v>0.46920140582171627</v>
      </c>
      <c r="R54" s="83">
        <f t="shared" si="57"/>
        <v>0.453741854682083</v>
      </c>
      <c r="S54" s="177">
        <f t="shared" si="57"/>
        <v>0.46176675977653631</v>
      </c>
      <c r="T54" s="83">
        <f t="shared" si="57"/>
        <v>0.46396337718890152</v>
      </c>
      <c r="U54" s="177">
        <f t="shared" si="57"/>
        <v>0.46246813668692849</v>
      </c>
      <c r="V54" s="83">
        <f t="shared" ref="V54:X54" si="58">V34/V$49</f>
        <v>0.43861685241760678</v>
      </c>
      <c r="W54" s="25">
        <f t="shared" si="58"/>
        <v>0.45630883960368113</v>
      </c>
      <c r="X54" s="83">
        <f t="shared" si="58"/>
        <v>0.51593042942896716</v>
      </c>
      <c r="Y54" s="83">
        <f>Y34/Y$49</f>
        <v>0.4734935739590449</v>
      </c>
      <c r="Z54" s="177">
        <f>Z34/Z$49</f>
        <v>0.4939301597759842</v>
      </c>
    </row>
    <row r="55" spans="1:26" x14ac:dyDescent="0.35">
      <c r="A55" s="118" t="s">
        <v>722</v>
      </c>
      <c r="B55" s="118" t="s">
        <v>723</v>
      </c>
      <c r="C55" s="24">
        <f t="shared" ref="C55:D55" si="59">C36/C$49</f>
        <v>0.21360133543710411</v>
      </c>
      <c r="D55" s="24">
        <f t="shared" si="59"/>
        <v>0.19275880758807587</v>
      </c>
      <c r="E55" s="177">
        <f t="shared" ref="E55:G55" si="60">E36/E$49</f>
        <v>0.20290242165242164</v>
      </c>
      <c r="F55" s="24">
        <f t="shared" si="60"/>
        <v>0.18794016893976467</v>
      </c>
      <c r="G55" s="177">
        <f t="shared" si="60"/>
        <v>0.19776405684848927</v>
      </c>
      <c r="H55" s="83">
        <f t="shared" ref="H55:U55" si="61">H36/H$49</f>
        <v>0.19979213907785337</v>
      </c>
      <c r="I55" s="25">
        <f t="shared" si="61"/>
        <v>0.19832960084310366</v>
      </c>
      <c r="J55" s="83">
        <f t="shared" si="61"/>
        <v>0.20055580348087143</v>
      </c>
      <c r="K55" s="83">
        <f t="shared" si="61"/>
        <v>0.18617669459253619</v>
      </c>
      <c r="L55" s="177">
        <f t="shared" si="61"/>
        <v>0.19313873774774598</v>
      </c>
      <c r="M55" s="83">
        <f t="shared" si="61"/>
        <v>0.1474418377798371</v>
      </c>
      <c r="N55" s="177">
        <f t="shared" si="61"/>
        <v>0.1759292707268241</v>
      </c>
      <c r="O55" s="83">
        <f t="shared" si="61"/>
        <v>0.16924699228298903</v>
      </c>
      <c r="P55" s="25">
        <f t="shared" si="61"/>
        <v>0.17407797588484214</v>
      </c>
      <c r="Q55" s="83">
        <f t="shared" si="61"/>
        <v>0.19193838599559421</v>
      </c>
      <c r="R55" s="83">
        <f t="shared" si="61"/>
        <v>0.19968054017751802</v>
      </c>
      <c r="S55" s="177">
        <f t="shared" si="61"/>
        <v>0.19566166201117319</v>
      </c>
      <c r="T55" s="83">
        <f t="shared" si="61"/>
        <v>0.19550775071180007</v>
      </c>
      <c r="U55" s="177">
        <f t="shared" si="61"/>
        <v>0.19561251834554388</v>
      </c>
      <c r="V55" s="83">
        <f t="shared" ref="V55" si="62">V36/V$49</f>
        <v>0.19134338038265264</v>
      </c>
      <c r="W55" s="25">
        <f>W36/W$49</f>
        <v>0.19451006664080955</v>
      </c>
      <c r="X55" s="83">
        <f t="shared" ref="X55" si="63">X36/X$49</f>
        <v>0.20534263677252748</v>
      </c>
      <c r="Y55" s="83">
        <f t="shared" ref="Y55:Z58" si="64">Y36/Y$49</f>
        <v>0.19759480197626575</v>
      </c>
      <c r="Z55" s="177">
        <f t="shared" si="64"/>
        <v>0.20132597595124363</v>
      </c>
    </row>
    <row r="56" spans="1:26" x14ac:dyDescent="0.35">
      <c r="A56" s="118" t="s">
        <v>688</v>
      </c>
      <c r="B56" s="118" t="s">
        <v>689</v>
      </c>
      <c r="C56" s="24">
        <f t="shared" ref="C56:D56" si="65">C37/C$49</f>
        <v>0.11069950378450069</v>
      </c>
      <c r="D56" s="24">
        <f t="shared" si="65"/>
        <v>9.244444444444444E-2</v>
      </c>
      <c r="E56" s="177">
        <f t="shared" ref="E56:G56" si="66">E37/E$49</f>
        <v>0.10132879273504274</v>
      </c>
      <c r="F56" s="24">
        <f t="shared" si="66"/>
        <v>0.1170024894146684</v>
      </c>
      <c r="G56" s="177">
        <f t="shared" si="66"/>
        <v>0.10671148295641372</v>
      </c>
      <c r="H56" s="83">
        <f t="shared" ref="H56:U56" si="67">H37/H$49</f>
        <v>9.0041572184429333E-2</v>
      </c>
      <c r="I56" s="25">
        <f t="shared" si="67"/>
        <v>0.10206296930575681</v>
      </c>
      <c r="J56" s="83">
        <f t="shared" si="67"/>
        <v>0.10444642784697147</v>
      </c>
      <c r="K56" s="83">
        <f t="shared" si="67"/>
        <v>9.6915460776846915E-2</v>
      </c>
      <c r="L56" s="177">
        <f t="shared" si="67"/>
        <v>0.10056178671747629</v>
      </c>
      <c r="M56" s="83">
        <f t="shared" si="67"/>
        <v>9.6197304459509997E-2</v>
      </c>
      <c r="N56" s="177">
        <f t="shared" si="67"/>
        <v>9.8918121314908125E-2</v>
      </c>
      <c r="O56" s="83">
        <f t="shared" si="67"/>
        <v>7.4358114045599069E-2</v>
      </c>
      <c r="P56" s="25">
        <f t="shared" si="67"/>
        <v>9.2113883036172739E-2</v>
      </c>
      <c r="Q56" s="83">
        <f t="shared" si="67"/>
        <v>0.1084298854827047</v>
      </c>
      <c r="R56" s="83">
        <f t="shared" si="67"/>
        <v>9.2643348519775653E-2</v>
      </c>
      <c r="S56" s="177">
        <f t="shared" si="67"/>
        <v>0.10083798882681565</v>
      </c>
      <c r="T56" s="83">
        <f t="shared" si="67"/>
        <v>9.6209315741481657E-2</v>
      </c>
      <c r="U56" s="177">
        <f t="shared" si="67"/>
        <v>9.9360059894115754E-2</v>
      </c>
      <c r="V56" s="83">
        <f t="shared" ref="V56:X56" si="68">V37/V$49</f>
        <v>8.7487839429263886E-2</v>
      </c>
      <c r="W56" s="25">
        <f t="shared" si="68"/>
        <v>9.6294206833327456E-2</v>
      </c>
      <c r="X56" s="83">
        <f t="shared" si="68"/>
        <v>0.12063687513895302</v>
      </c>
      <c r="Y56" s="83">
        <f t="shared" si="64"/>
        <v>0.10999729931529699</v>
      </c>
      <c r="Z56" s="177">
        <f t="shared" si="64"/>
        <v>0.11512106736946137</v>
      </c>
    </row>
    <row r="57" spans="1:26" x14ac:dyDescent="0.35">
      <c r="A57" s="118" t="s">
        <v>724</v>
      </c>
      <c r="B57" s="118" t="s">
        <v>725</v>
      </c>
      <c r="C57" s="24">
        <f t="shared" ref="C57:D57" si="69">C38/C$49</f>
        <v>5.3371750017150305E-2</v>
      </c>
      <c r="D57" s="24">
        <f t="shared" si="69"/>
        <v>5.2097560975609754E-2</v>
      </c>
      <c r="E57" s="177">
        <f t="shared" ref="E57:G57" si="70">E38/E$49</f>
        <v>5.2717681623931624E-2</v>
      </c>
      <c r="F57" s="24">
        <f t="shared" si="70"/>
        <v>5.1979829358071446E-2</v>
      </c>
      <c r="G57" s="177">
        <f t="shared" si="70"/>
        <v>5.2464287019107818E-2</v>
      </c>
      <c r="H57" s="83">
        <f t="shared" ref="H57:U57" si="71">H38/H$49</f>
        <v>5.6859410430839002E-2</v>
      </c>
      <c r="I57" s="25">
        <f t="shared" si="71"/>
        <v>5.3689895929390066E-2</v>
      </c>
      <c r="J57" s="83">
        <f t="shared" si="71"/>
        <v>6.1077528500141996E-2</v>
      </c>
      <c r="K57" s="83">
        <f t="shared" si="71"/>
        <v>5.9843869002284847E-2</v>
      </c>
      <c r="L57" s="177">
        <f t="shared" si="71"/>
        <v>6.0441179359248857E-2</v>
      </c>
      <c r="M57" s="83">
        <f t="shared" si="71"/>
        <v>5.0382870799395213E-2</v>
      </c>
      <c r="N57" s="177">
        <f t="shared" si="71"/>
        <v>5.6653217165563562E-2</v>
      </c>
      <c r="O57" s="83">
        <f t="shared" si="71"/>
        <v>4.2339708255444246E-2</v>
      </c>
      <c r="P57" s="25">
        <f t="shared" si="71"/>
        <v>5.2687724641017016E-2</v>
      </c>
      <c r="Q57" s="83">
        <f t="shared" si="71"/>
        <v>5.2819210654648799E-2</v>
      </c>
      <c r="R57" s="83">
        <f t="shared" si="71"/>
        <v>5.6159584702230772E-2</v>
      </c>
      <c r="S57" s="177">
        <f t="shared" si="71"/>
        <v>5.4425628491620109E-2</v>
      </c>
      <c r="T57" s="83">
        <f t="shared" si="71"/>
        <v>6.7607049146770376E-2</v>
      </c>
      <c r="U57" s="177">
        <f t="shared" si="71"/>
        <v>5.8634437928186477E-2</v>
      </c>
      <c r="V57" s="83">
        <f t="shared" ref="V57:X57" si="72">V38/V$49</f>
        <v>6.9072041781160928E-2</v>
      </c>
      <c r="W57" s="25">
        <f t="shared" si="72"/>
        <v>6.1329819117802616E-2</v>
      </c>
      <c r="X57" s="83">
        <f t="shared" si="72"/>
        <v>6.6646144374326616E-2</v>
      </c>
      <c r="Y57" s="83">
        <f t="shared" si="64"/>
        <v>6.3767931752108917E-2</v>
      </c>
      <c r="Z57" s="177">
        <f t="shared" si="64"/>
        <v>6.5154010871355625E-2</v>
      </c>
    </row>
    <row r="58" spans="1:26" x14ac:dyDescent="0.35">
      <c r="A58" s="34" t="s">
        <v>132</v>
      </c>
      <c r="B58" s="34" t="s">
        <v>133</v>
      </c>
      <c r="C58" s="24">
        <f>C39/C$49</f>
        <v>0.42420708421943243</v>
      </c>
      <c r="D58" s="24">
        <f>D39/D$49</f>
        <v>0.47746341463414632</v>
      </c>
      <c r="E58" s="177">
        <f t="shared" ref="E58:G58" si="73">E39/E$49</f>
        <v>0.45154469373219375</v>
      </c>
      <c r="F58" s="24">
        <f t="shared" si="73"/>
        <v>0.48726568650396818</v>
      </c>
      <c r="G58" s="177">
        <f t="shared" si="73"/>
        <v>0.46381206386321289</v>
      </c>
      <c r="H58" s="83">
        <f t="shared" ref="H58:U58" si="74">H39/H$49</f>
        <v>0.47403628117913832</v>
      </c>
      <c r="I58" s="25">
        <f t="shared" si="74"/>
        <v>0.46666315373468581</v>
      </c>
      <c r="J58" s="83">
        <f t="shared" si="74"/>
        <v>0.44060610978132986</v>
      </c>
      <c r="K58" s="83">
        <f t="shared" si="74"/>
        <v>0.47004950495049502</v>
      </c>
      <c r="L58" s="177">
        <f t="shared" si="74"/>
        <v>0.45579367106012691</v>
      </c>
      <c r="M58" s="83">
        <f t="shared" si="74"/>
        <v>0.55037474190768831</v>
      </c>
      <c r="N58" s="177">
        <f t="shared" si="74"/>
        <v>0.49141293233819272</v>
      </c>
      <c r="O58" s="83">
        <f t="shared" si="74"/>
        <v>0.54485612487817348</v>
      </c>
      <c r="P58" s="25">
        <f t="shared" si="74"/>
        <v>0.50621912569273531</v>
      </c>
      <c r="Q58" s="83">
        <f t="shared" si="74"/>
        <v>0.45050195906973617</v>
      </c>
      <c r="R58" s="83">
        <f t="shared" si="74"/>
        <v>0.47359918682954277</v>
      </c>
      <c r="S58" s="177">
        <f t="shared" si="74"/>
        <v>0.46160963687150836</v>
      </c>
      <c r="T58" s="83">
        <f t="shared" si="74"/>
        <v>0.46223272605467369</v>
      </c>
      <c r="U58" s="177">
        <f t="shared" si="74"/>
        <v>0.46180858838838484</v>
      </c>
      <c r="V58" s="83">
        <f>V39/V$49</f>
        <v>0.46756327763649708</v>
      </c>
      <c r="W58" s="25">
        <f t="shared" ref="W58:X58" si="75">W39/W$49</f>
        <v>0.46329466520926627</v>
      </c>
      <c r="X58" s="83">
        <f t="shared" si="75"/>
        <v>0.42185282096010124</v>
      </c>
      <c r="Y58" s="83">
        <f t="shared" si="64"/>
        <v>0.45468409932165155</v>
      </c>
      <c r="Z58" s="177">
        <f t="shared" si="64"/>
        <v>0.43887333223521663</v>
      </c>
    </row>
    <row r="59" spans="1:26" x14ac:dyDescent="0.35">
      <c r="A59" s="118" t="s">
        <v>690</v>
      </c>
      <c r="B59" s="118" t="s">
        <v>691</v>
      </c>
      <c r="C59" s="24">
        <f t="shared" ref="C59:D62" si="76">C41/C$49</f>
        <v>0.27017447577233539</v>
      </c>
      <c r="D59" s="24">
        <f t="shared" si="76"/>
        <v>0.31221680216802167</v>
      </c>
      <c r="E59" s="177">
        <f t="shared" ref="E59:G59" si="77">E41/E$49</f>
        <v>0.29175569800569801</v>
      </c>
      <c r="F59" s="24">
        <f t="shared" si="77"/>
        <v>0.29913402412817292</v>
      </c>
      <c r="G59" s="177">
        <f t="shared" si="77"/>
        <v>0.2942895765591319</v>
      </c>
      <c r="H59" s="83">
        <f t="shared" ref="H59:U59" si="78">H41/H$49</f>
        <v>0.2950302343159486</v>
      </c>
      <c r="I59" s="25">
        <f t="shared" si="78"/>
        <v>0.29449611381899615</v>
      </c>
      <c r="J59" s="83">
        <f t="shared" si="78"/>
        <v>0.26640025964542174</v>
      </c>
      <c r="K59" s="83">
        <f t="shared" si="78"/>
        <v>0.34384996191926886</v>
      </c>
      <c r="L59" s="177">
        <f t="shared" si="78"/>
        <v>0.30635054705454834</v>
      </c>
      <c r="M59" s="83">
        <f t="shared" si="78"/>
        <v>0.37358760506592531</v>
      </c>
      <c r="N59" s="177">
        <f t="shared" si="78"/>
        <v>0.33167204442621245</v>
      </c>
      <c r="O59" s="83">
        <f t="shared" si="78"/>
        <v>0.37773410663215579</v>
      </c>
      <c r="P59" s="25">
        <f t="shared" si="78"/>
        <v>0.34443332920200431</v>
      </c>
      <c r="Q59" s="83">
        <f t="shared" si="78"/>
        <v>0.3166462071400945</v>
      </c>
      <c r="R59" s="83">
        <f t="shared" si="78"/>
        <v>0.31087433975278167</v>
      </c>
      <c r="S59" s="177">
        <f t="shared" si="78"/>
        <v>0.31387046089385473</v>
      </c>
      <c r="T59" s="83">
        <f t="shared" si="78"/>
        <v>0.28546439138768448</v>
      </c>
      <c r="U59" s="177">
        <f t="shared" si="78"/>
        <v>0.3048004420756163</v>
      </c>
      <c r="V59" s="83">
        <f t="shared" ref="V59:X59" si="79">V41/V$49</f>
        <v>0.29354337696915911</v>
      </c>
      <c r="W59" s="25">
        <f t="shared" si="79"/>
        <v>0.3018934452240753</v>
      </c>
      <c r="X59" s="83">
        <f t="shared" si="79"/>
        <v>0.23869136182511586</v>
      </c>
      <c r="Y59" s="83">
        <f t="shared" ref="Y59:Z61" si="80">Y41/Y$49</f>
        <v>0.303302778527968</v>
      </c>
      <c r="Z59" s="177">
        <f>Z41/Z$49</f>
        <v>0.27218744852577831</v>
      </c>
    </row>
    <row r="60" spans="1:26" x14ac:dyDescent="0.35">
      <c r="A60" s="118" t="s">
        <v>726</v>
      </c>
      <c r="B60" s="118" t="s">
        <v>727</v>
      </c>
      <c r="C60" s="24">
        <f t="shared" si="76"/>
        <v>2.8698177494226065E-2</v>
      </c>
      <c r="D60" s="24">
        <f t="shared" si="76"/>
        <v>3.1349593495934962E-2</v>
      </c>
      <c r="E60" s="177">
        <f t="shared" ref="E60:G60" si="81">E42/E$49</f>
        <v>3.0059205840455839E-2</v>
      </c>
      <c r="F60" s="24">
        <f t="shared" si="81"/>
        <v>3.2000680865550329E-2</v>
      </c>
      <c r="G60" s="177">
        <f t="shared" si="81"/>
        <v>3.0725950823864673E-2</v>
      </c>
      <c r="H60" s="83">
        <f t="shared" ref="H60:U60" si="82">H42/H$49</f>
        <v>3.5733182161753592E-2</v>
      </c>
      <c r="I60" s="25">
        <f t="shared" si="82"/>
        <v>3.2122250032933737E-2</v>
      </c>
      <c r="J60" s="83">
        <f t="shared" si="82"/>
        <v>3.8622256480993142E-2</v>
      </c>
      <c r="K60" s="83">
        <f t="shared" si="82"/>
        <v>2.0773038842345774E-2</v>
      </c>
      <c r="L60" s="177">
        <f t="shared" si="82"/>
        <v>2.9415231098626961E-2</v>
      </c>
      <c r="M60" s="83">
        <f t="shared" si="82"/>
        <v>3.4791656505552035E-2</v>
      </c>
      <c r="N60" s="177">
        <f t="shared" si="82"/>
        <v>3.1439994612035976E-2</v>
      </c>
      <c r="O60" s="83">
        <f t="shared" si="82"/>
        <v>3.916023582418636E-2</v>
      </c>
      <c r="P60" s="25">
        <f t="shared" si="82"/>
        <v>3.3578852316790309E-2</v>
      </c>
      <c r="Q60" s="83">
        <f t="shared" si="82"/>
        <v>2.6233036810331782E-2</v>
      </c>
      <c r="R60" s="83">
        <f t="shared" si="82"/>
        <v>3.4124117401484765E-2</v>
      </c>
      <c r="S60" s="177">
        <f t="shared" si="82"/>
        <v>3.0027932960893854E-2</v>
      </c>
      <c r="T60" s="83">
        <f t="shared" si="82"/>
        <v>4.4996929489923142E-2</v>
      </c>
      <c r="U60" s="177">
        <f t="shared" si="82"/>
        <v>3.4807512908726836E-2</v>
      </c>
      <c r="V60" s="83">
        <f t="shared" ref="V60:X60" si="83">V42/V$49</f>
        <v>4.3419637828335411E-2</v>
      </c>
      <c r="W60" s="25">
        <f t="shared" si="83"/>
        <v>3.7031486901026055E-2</v>
      </c>
      <c r="X60" s="83">
        <f t="shared" si="83"/>
        <v>3.2066081781334972E-2</v>
      </c>
      <c r="Y60" s="83">
        <f t="shared" si="80"/>
        <v>2.5592959156115463E-2</v>
      </c>
      <c r="Z60" s="177">
        <f t="shared" si="80"/>
        <v>2.871026190084006E-2</v>
      </c>
    </row>
    <row r="61" spans="1:26" x14ac:dyDescent="0.35">
      <c r="A61" s="118" t="s">
        <v>728</v>
      </c>
      <c r="B61" s="118" t="s">
        <v>729</v>
      </c>
      <c r="C61" s="24">
        <f t="shared" si="76"/>
        <v>4.262422537787839E-2</v>
      </c>
      <c r="D61" s="24">
        <f t="shared" si="76"/>
        <v>5.591327913279133E-2</v>
      </c>
      <c r="E61" s="177">
        <f t="shared" ref="E61:G61" si="84">E43/E$49</f>
        <v>4.9445779914529912E-2</v>
      </c>
      <c r="F61" s="24">
        <f t="shared" si="84"/>
        <v>6.3043894550947888E-2</v>
      </c>
      <c r="G61" s="177">
        <f t="shared" si="84"/>
        <v>5.4115669869569984E-2</v>
      </c>
      <c r="H61" s="83">
        <f t="shared" ref="H61:U61" si="85">H43/H$49</f>
        <v>6.2131519274376421E-2</v>
      </c>
      <c r="I61" s="25">
        <f t="shared" si="85"/>
        <v>5.6350941904887368E-2</v>
      </c>
      <c r="J61" s="83">
        <f t="shared" si="85"/>
        <v>4.2050387439652726E-2</v>
      </c>
      <c r="K61" s="83">
        <f t="shared" si="85"/>
        <v>2.5666412795125666E-2</v>
      </c>
      <c r="L61" s="177">
        <f t="shared" si="85"/>
        <v>3.3599167141369894E-2</v>
      </c>
      <c r="M61" s="83">
        <f t="shared" si="85"/>
        <v>4.1392316571558632E-2</v>
      </c>
      <c r="N61" s="177">
        <f t="shared" si="85"/>
        <v>3.6534069688416493E-2</v>
      </c>
      <c r="O61" s="83">
        <f t="shared" si="85"/>
        <v>3.3983607343143367E-2</v>
      </c>
      <c r="P61" s="25">
        <f t="shared" si="85"/>
        <v>3.5827475698932347E-2</v>
      </c>
      <c r="Q61" s="83">
        <f t="shared" si="85"/>
        <v>1.6731968991205205E-2</v>
      </c>
      <c r="R61" s="83">
        <f t="shared" si="85"/>
        <v>4.0731127366453089E-2</v>
      </c>
      <c r="S61" s="177">
        <f t="shared" si="85"/>
        <v>2.8273393854748603E-2</v>
      </c>
      <c r="T61" s="83">
        <f t="shared" si="85"/>
        <v>3.5450434523698754E-2</v>
      </c>
      <c r="U61" s="177">
        <f t="shared" si="85"/>
        <v>3.0565013042419056E-2</v>
      </c>
      <c r="V61" s="83">
        <f t="shared" ref="V61:X61" si="86">V43/V$49</f>
        <v>3.4902971446126536E-2</v>
      </c>
      <c r="W61" s="25">
        <f t="shared" si="86"/>
        <v>3.1685236768802229E-2</v>
      </c>
      <c r="X61" s="83">
        <f t="shared" si="86"/>
        <v>3.7470285430882627E-2</v>
      </c>
      <c r="Y61" s="83">
        <f t="shared" si="80"/>
        <v>2.4322048707642936E-2</v>
      </c>
      <c r="Z61" s="177">
        <f t="shared" si="80"/>
        <v>3.0653928512600889E-2</v>
      </c>
    </row>
    <row r="62" spans="1:26" x14ac:dyDescent="0.35">
      <c r="A62" s="118" t="s">
        <v>730</v>
      </c>
      <c r="B62" s="118" t="s">
        <v>731</v>
      </c>
      <c r="C62" s="24">
        <f t="shared" si="76"/>
        <v>2.0214493151311425E-2</v>
      </c>
      <c r="D62" s="24">
        <f t="shared" si="76"/>
        <v>2.0357723577235771E-2</v>
      </c>
      <c r="E62" s="177">
        <f t="shared" ref="E62:G62" si="87">E44/E$49</f>
        <v>2.0288016381766381E-2</v>
      </c>
      <c r="F62" s="24">
        <f t="shared" si="87"/>
        <v>4.3405178833592205E-2</v>
      </c>
      <c r="G62" s="177">
        <f t="shared" si="87"/>
        <v>2.8226955536882103E-2</v>
      </c>
      <c r="H62" s="83">
        <f t="shared" ref="H62:U62" si="88">H44/H$49</f>
        <v>2.5472411186696901E-2</v>
      </c>
      <c r="I62" s="25">
        <f t="shared" si="88"/>
        <v>2.745883282834936E-2</v>
      </c>
      <c r="J62" s="83">
        <f t="shared" si="88"/>
        <v>3.0630045843644774E-2</v>
      </c>
      <c r="K62" s="83">
        <f t="shared" si="88"/>
        <v>3.1530845392231534E-2</v>
      </c>
      <c r="L62" s="177">
        <f t="shared" si="88"/>
        <v>3.109469838338997E-2</v>
      </c>
      <c r="M62" s="83">
        <f t="shared" si="88"/>
        <v>4.8204327821944754E-2</v>
      </c>
      <c r="N62" s="177">
        <f t="shared" si="88"/>
        <v>3.7538190256356879E-2</v>
      </c>
      <c r="O62" s="83">
        <f t="shared" si="88"/>
        <v>2.7257185767467128E-2</v>
      </c>
      <c r="P62" s="25">
        <f t="shared" si="88"/>
        <v>3.4689884735919545E-2</v>
      </c>
      <c r="Q62" s="83">
        <f t="shared" si="88"/>
        <v>3.0386600971967645E-2</v>
      </c>
      <c r="R62" s="83">
        <f t="shared" si="88"/>
        <v>2.2416640952571107E-2</v>
      </c>
      <c r="S62" s="177">
        <f t="shared" si="88"/>
        <v>2.6553770949720671E-2</v>
      </c>
      <c r="T62" s="83">
        <f t="shared" si="88"/>
        <v>3.9544447959506485E-2</v>
      </c>
      <c r="U62" s="177">
        <f t="shared" si="88"/>
        <v>3.0701676203378551E-2</v>
      </c>
      <c r="V62" s="83">
        <f t="shared" ref="V62" si="89">V44/V$49</f>
        <v>3.7667901213496953E-2</v>
      </c>
      <c r="W62" s="25">
        <f>W44/W$49</f>
        <v>3.2500617044532984E-2</v>
      </c>
      <c r="X62" s="83">
        <f t="shared" ref="X62:Y62" si="90">X44/X$49</f>
        <v>4.0959075128691874E-2</v>
      </c>
      <c r="Y62" s="83">
        <f t="shared" si="90"/>
        <v>4.7722687340143295E-2</v>
      </c>
      <c r="Z62" s="177">
        <f>Z44/Z$49</f>
        <v>4.4465491681765772E-2</v>
      </c>
    </row>
    <row r="63" spans="1:26" x14ac:dyDescent="0.35">
      <c r="A63" s="34" t="s">
        <v>134</v>
      </c>
      <c r="B63" s="34" t="s">
        <v>135</v>
      </c>
      <c r="C63" s="8">
        <v>0</v>
      </c>
      <c r="D63" s="8">
        <v>0</v>
      </c>
      <c r="E63" s="174">
        <v>0</v>
      </c>
      <c r="F63" s="8">
        <v>0</v>
      </c>
      <c r="G63" s="174">
        <v>0</v>
      </c>
      <c r="H63" s="8">
        <v>0</v>
      </c>
      <c r="I63" s="9">
        <v>0</v>
      </c>
      <c r="J63" s="8">
        <v>0</v>
      </c>
      <c r="K63" s="8">
        <v>0</v>
      </c>
      <c r="L63" s="174">
        <v>0</v>
      </c>
      <c r="M63" s="8">
        <v>0</v>
      </c>
      <c r="N63" s="174">
        <v>0</v>
      </c>
      <c r="O63" s="8">
        <v>0</v>
      </c>
      <c r="P63" s="9">
        <v>0</v>
      </c>
      <c r="Q63" s="8">
        <v>0</v>
      </c>
      <c r="R63" s="8">
        <v>0</v>
      </c>
      <c r="S63" s="174">
        <v>0</v>
      </c>
      <c r="T63" s="8">
        <v>0</v>
      </c>
      <c r="U63" s="174">
        <v>0</v>
      </c>
      <c r="V63" s="8">
        <v>0</v>
      </c>
      <c r="W63" s="9">
        <v>0</v>
      </c>
      <c r="X63" s="8">
        <v>0</v>
      </c>
      <c r="Y63" s="8">
        <v>0</v>
      </c>
      <c r="Z63" s="174">
        <v>0</v>
      </c>
    </row>
    <row r="64" spans="1:26" x14ac:dyDescent="0.35">
      <c r="A64" s="34" t="s">
        <v>136</v>
      </c>
      <c r="B64" s="34" t="s">
        <v>137</v>
      </c>
      <c r="C64" s="24">
        <f t="shared" ref="C64:D66" si="91">C46/C$49</f>
        <v>4.6328691317372113E-2</v>
      </c>
      <c r="D64" s="24">
        <f t="shared" si="91"/>
        <v>5.1880758807588079E-2</v>
      </c>
      <c r="E64" s="177">
        <f t="shared" ref="E64:G64" si="92">E46/E$49</f>
        <v>4.9178685897435896E-2</v>
      </c>
      <c r="F64" s="24">
        <f t="shared" si="92"/>
        <v>4.5617991872167495E-2</v>
      </c>
      <c r="G64" s="177">
        <f t="shared" si="92"/>
        <v>4.7955865697270832E-2</v>
      </c>
      <c r="H64" s="83">
        <f t="shared" ref="H64" si="93">H46/H$49</f>
        <v>6.6931216931216925E-2</v>
      </c>
      <c r="I64" s="25">
        <f t="shared" ref="I64:U64" si="94">I46/I$49</f>
        <v>5.3247266499802395E-2</v>
      </c>
      <c r="J64" s="83">
        <f t="shared" si="94"/>
        <v>5.8663637470079924E-2</v>
      </c>
      <c r="K64" s="83">
        <f t="shared" si="94"/>
        <v>5.8282559025133282E-2</v>
      </c>
      <c r="L64" s="177">
        <f t="shared" si="94"/>
        <v>5.8467068691194092E-2</v>
      </c>
      <c r="M64" s="83">
        <f t="shared" si="94"/>
        <v>4.4416264286527174E-2</v>
      </c>
      <c r="N64" s="177">
        <f t="shared" si="94"/>
        <v>5.3175531296111481E-2</v>
      </c>
      <c r="O64" s="83">
        <f t="shared" si="94"/>
        <v>6.44841745354615E-2</v>
      </c>
      <c r="P64" s="25">
        <f t="shared" si="94"/>
        <v>5.6308539457143363E-2</v>
      </c>
      <c r="Q64" s="83">
        <f t="shared" si="94"/>
        <v>5.1473926715657425E-2</v>
      </c>
      <c r="R64" s="83">
        <f t="shared" si="94"/>
        <v>4.465177064236836E-2</v>
      </c>
      <c r="S64" s="177">
        <f t="shared" si="94"/>
        <v>4.8193086592178774E-2</v>
      </c>
      <c r="T64" s="83">
        <f t="shared" si="94"/>
        <v>5.2235889610510448E-2</v>
      </c>
      <c r="U64" s="177">
        <f t="shared" si="94"/>
        <v>4.9483948020463825E-2</v>
      </c>
      <c r="V64" s="83">
        <f t="shared" ref="V64:X64" si="95">V46/V$49</f>
        <v>6.0384700721953885E-2</v>
      </c>
      <c r="W64" s="25">
        <f t="shared" si="95"/>
        <v>5.2298931631465748E-2</v>
      </c>
      <c r="X64" s="83">
        <f t="shared" si="95"/>
        <v>4.5644998546337627E-2</v>
      </c>
      <c r="Y64" s="83">
        <f t="shared" ref="Y64:Z66" si="96">Y46/Y$49</f>
        <v>3.7396539946304035E-2</v>
      </c>
      <c r="Z64" s="177">
        <f t="shared" si="96"/>
        <v>4.1368802503706142E-2</v>
      </c>
    </row>
    <row r="65" spans="1:27" x14ac:dyDescent="0.35">
      <c r="A65" s="34" t="s">
        <v>138</v>
      </c>
      <c r="B65" s="34" t="s">
        <v>139</v>
      </c>
      <c r="C65" s="24">
        <f t="shared" si="91"/>
        <v>8.3007477533100088E-3</v>
      </c>
      <c r="D65" s="24">
        <f t="shared" si="91"/>
        <v>1.0731707317073172E-2</v>
      </c>
      <c r="E65" s="177">
        <f t="shared" ref="E65:G65" si="97">E47/E$49</f>
        <v>9.5486111111111119E-3</v>
      </c>
      <c r="F65" s="24">
        <f>F47/F$49</f>
        <v>3.5319900423413262E-3</v>
      </c>
      <c r="G65" s="177">
        <f t="shared" si="97"/>
        <v>7.4823718534215043E-3</v>
      </c>
      <c r="H65" s="83">
        <f t="shared" ref="H65" si="98">H47/H$49</f>
        <v>5.6689342403628117E-3</v>
      </c>
      <c r="I65" s="25">
        <f t="shared" ref="I65:U65" si="99">I47/I$49</f>
        <v>6.9766829139770777E-3</v>
      </c>
      <c r="J65" s="83">
        <f t="shared" si="99"/>
        <v>8.1139194287800718E-4</v>
      </c>
      <c r="K65" s="83">
        <f t="shared" si="99"/>
        <v>7.0830159939070832E-3</v>
      </c>
      <c r="L65" s="177">
        <f t="shared" si="99"/>
        <v>4.0464357972067808E-3</v>
      </c>
      <c r="M65" s="83">
        <f t="shared" si="99"/>
        <v>6.242988830902795E-3</v>
      </c>
      <c r="N65" s="177">
        <f t="shared" si="99"/>
        <v>4.8736583663448177E-3</v>
      </c>
      <c r="O65" s="83">
        <f t="shared" si="99"/>
        <v>5.7837639201776666E-3</v>
      </c>
      <c r="P65" s="25">
        <f t="shared" si="99"/>
        <v>5.1257989695284974E-3</v>
      </c>
      <c r="Q65" s="83">
        <f t="shared" si="99"/>
        <v>8.2566801755595536E-3</v>
      </c>
      <c r="R65" s="83">
        <f t="shared" si="99"/>
        <v>1.0654711124825295E-2</v>
      </c>
      <c r="S65" s="177">
        <f t="shared" si="99"/>
        <v>9.4099162011173181E-3</v>
      </c>
      <c r="T65" s="83">
        <f t="shared" si="99"/>
        <v>7.9647170478441293E-3</v>
      </c>
      <c r="U65" s="177">
        <f t="shared" si="99"/>
        <v>8.9484661045651434E-3</v>
      </c>
      <c r="V65" s="83">
        <f t="shared" ref="V65:X65" si="100">V47/V$49</f>
        <v>6.7757846768274994E-3</v>
      </c>
      <c r="W65" s="25">
        <f t="shared" si="100"/>
        <v>8.3873981876520579E-3</v>
      </c>
      <c r="X65" s="83">
        <f t="shared" si="100"/>
        <v>7.0972927676021414E-3</v>
      </c>
      <c r="Y65" s="83">
        <f t="shared" si="96"/>
        <v>7.0853257502343243E-3</v>
      </c>
      <c r="Z65" s="177">
        <f t="shared" si="96"/>
        <v>7.0910887827376054E-3</v>
      </c>
    </row>
    <row r="66" spans="1:27" x14ac:dyDescent="0.35">
      <c r="A66" s="34" t="s">
        <v>140</v>
      </c>
      <c r="B66" s="34" t="s">
        <v>141</v>
      </c>
      <c r="C66" s="24">
        <f t="shared" si="91"/>
        <v>9.2840319224348853E-3</v>
      </c>
      <c r="D66" s="24">
        <f t="shared" si="91"/>
        <v>1.4092140921409214E-3</v>
      </c>
      <c r="E66" s="177">
        <f t="shared" ref="E66:G66" si="101">E48/E$49</f>
        <v>5.2417200854700851E-3</v>
      </c>
      <c r="F66" s="24">
        <f t="shared" si="101"/>
        <v>1.7872720696185025E-3</v>
      </c>
      <c r="G66" s="177">
        <f t="shared" si="101"/>
        <v>4.0553870885243508E-3</v>
      </c>
      <c r="H66" s="83">
        <f t="shared" ref="H66" si="102">H48/H$49</f>
        <v>4.6674225245653816E-3</v>
      </c>
      <c r="I66" s="25">
        <f t="shared" ref="I66:U66" si="103">I48/I$49</f>
        <v>4.2260571729679881E-3</v>
      </c>
      <c r="J66" s="83">
        <f t="shared" si="103"/>
        <v>2.8804413972169257E-3</v>
      </c>
      <c r="K66" s="83">
        <f t="shared" si="103"/>
        <v>6.0167555217060164E-3</v>
      </c>
      <c r="L66" s="177">
        <f t="shared" si="103"/>
        <v>4.4982223182541397E-3</v>
      </c>
      <c r="M66" s="83">
        <f t="shared" si="103"/>
        <v>2.0484807101399795E-3</v>
      </c>
      <c r="N66" s="177">
        <f t="shared" si="103"/>
        <v>3.5756488516901675E-3</v>
      </c>
      <c r="O66" s="83">
        <f t="shared" si="103"/>
        <v>3.0836089408682035E-3</v>
      </c>
      <c r="P66" s="25">
        <f t="shared" si="103"/>
        <v>3.4393314329219712E-3</v>
      </c>
      <c r="Q66" s="83">
        <f t="shared" si="103"/>
        <v>3.0773370104427667E-3</v>
      </c>
      <c r="R66" s="83">
        <f t="shared" si="103"/>
        <v>2.2325885321184181E-3</v>
      </c>
      <c r="S66" s="177">
        <f t="shared" si="103"/>
        <v>2.6710893854748601E-3</v>
      </c>
      <c r="T66" s="83">
        <f t="shared" si="103"/>
        <v>6.5876398012542567E-3</v>
      </c>
      <c r="U66" s="177">
        <f t="shared" si="103"/>
        <v>3.9216385318811388E-3</v>
      </c>
      <c r="V66" s="83">
        <f t="shared" ref="V66:X66" si="104">V48/V$49</f>
        <v>8.3459917052106977E-3</v>
      </c>
      <c r="W66" s="25">
        <f t="shared" si="104"/>
        <v>5.0641726314304856E-3</v>
      </c>
      <c r="X66" s="83">
        <f t="shared" si="104"/>
        <v>2.8902228378909923E-3</v>
      </c>
      <c r="Y66" s="83">
        <f t="shared" si="96"/>
        <v>8.0226222059828108E-3</v>
      </c>
      <c r="Z66" s="177">
        <f t="shared" si="96"/>
        <v>5.5509800691813539E-3</v>
      </c>
      <c r="AA66" s="20"/>
    </row>
    <row r="67" spans="1:27" x14ac:dyDescent="0.35">
      <c r="V67" s="3"/>
      <c r="W67" s="3"/>
      <c r="AA67" s="20"/>
    </row>
  </sheetData>
  <mergeCells count="2">
    <mergeCell ref="B2:B3"/>
    <mergeCell ref="A2:A3"/>
  </mergeCell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3029B-8549-4A7A-8F8C-DDD111BB8A01}">
  <sheetPr codeName="Munka8">
    <tabColor rgb="FF0070C0"/>
  </sheetPr>
  <dimension ref="A1:W35"/>
  <sheetViews>
    <sheetView topLeftCell="A17" zoomScale="86" zoomScaleNormal="86" workbookViewId="0">
      <pane xSplit="2" topLeftCell="L1" activePane="topRight" state="frozen"/>
      <selection activeCell="A31" sqref="A31"/>
      <selection pane="topRight" activeCell="T10" sqref="T10"/>
    </sheetView>
  </sheetViews>
  <sheetFormatPr defaultRowHeight="14.5" outlineLevelRow="1" x14ac:dyDescent="0.35"/>
  <cols>
    <col min="1" max="1" width="30.54296875" customWidth="1"/>
    <col min="2" max="2" width="35" customWidth="1"/>
    <col min="3" max="16" width="13.453125" customWidth="1"/>
    <col min="17" max="17" width="11.81640625" bestFit="1" customWidth="1"/>
    <col min="18" max="19" width="13.453125" customWidth="1"/>
    <col min="23" max="23" width="10.1796875" bestFit="1" customWidth="1"/>
  </cols>
  <sheetData>
    <row r="1" spans="1:23" ht="31.5" customHeight="1" thickBot="1" x14ac:dyDescent="0.4">
      <c r="A1" s="39"/>
      <c r="B1" s="39"/>
      <c r="G1" s="39"/>
    </row>
    <row r="2" spans="1:23" s="264" customFormat="1" ht="24.75" customHeight="1" thickBot="1" x14ac:dyDescent="0.4">
      <c r="A2" s="514" t="s">
        <v>734</v>
      </c>
      <c r="B2" s="515"/>
      <c r="C2" s="263"/>
      <c r="D2" s="263"/>
      <c r="E2" s="263"/>
      <c r="F2" s="263"/>
      <c r="G2" s="263"/>
      <c r="H2" s="263"/>
      <c r="I2" s="263"/>
      <c r="J2" s="263"/>
      <c r="K2" s="263"/>
      <c r="L2" s="263"/>
      <c r="M2" s="263"/>
      <c r="N2" s="263"/>
      <c r="O2" s="263"/>
      <c r="P2" s="263"/>
      <c r="Q2" s="263"/>
      <c r="R2" s="263"/>
      <c r="S2" s="263"/>
      <c r="T2" s="263"/>
      <c r="U2" s="263"/>
      <c r="V2" s="263"/>
      <c r="W2" s="263"/>
    </row>
    <row r="3" spans="1:23" ht="24.75" customHeight="1" thickTop="1" thickBot="1" x14ac:dyDescent="0.4">
      <c r="A3" s="510" t="s">
        <v>735</v>
      </c>
      <c r="B3" s="510" t="s">
        <v>736</v>
      </c>
      <c r="C3" s="1" t="s">
        <v>49</v>
      </c>
      <c r="D3" s="1" t="s">
        <v>50</v>
      </c>
      <c r="E3" s="1" t="s">
        <v>51</v>
      </c>
      <c r="F3" s="1" t="s">
        <v>52</v>
      </c>
      <c r="G3" s="1">
        <v>2021</v>
      </c>
      <c r="H3" s="1" t="s">
        <v>53</v>
      </c>
      <c r="I3" s="1" t="s">
        <v>54</v>
      </c>
      <c r="J3" s="1" t="s">
        <v>55</v>
      </c>
      <c r="K3" s="1" t="s">
        <v>56</v>
      </c>
      <c r="L3" s="1">
        <v>2022</v>
      </c>
      <c r="M3" s="1" t="s">
        <v>57</v>
      </c>
      <c r="N3" s="1" t="s">
        <v>58</v>
      </c>
      <c r="O3" s="1" t="s">
        <v>59</v>
      </c>
      <c r="P3" s="1" t="s">
        <v>60</v>
      </c>
      <c r="Q3" s="1">
        <v>2023</v>
      </c>
      <c r="R3" s="1" t="s">
        <v>61</v>
      </c>
      <c r="S3" s="1" t="s">
        <v>1166</v>
      </c>
    </row>
    <row r="4" spans="1:23" ht="15" thickTop="1" x14ac:dyDescent="0.35">
      <c r="A4" s="511"/>
      <c r="B4" s="511"/>
      <c r="C4" s="2" t="s">
        <v>62</v>
      </c>
      <c r="D4" s="2" t="s">
        <v>62</v>
      </c>
      <c r="E4" s="2" t="s">
        <v>62</v>
      </c>
      <c r="F4" s="2" t="s">
        <v>62</v>
      </c>
      <c r="G4" s="2" t="s">
        <v>62</v>
      </c>
      <c r="H4" s="2" t="s">
        <v>62</v>
      </c>
      <c r="I4" s="2" t="s">
        <v>62</v>
      </c>
      <c r="J4" s="2" t="s">
        <v>62</v>
      </c>
      <c r="K4" s="2" t="s">
        <v>62</v>
      </c>
      <c r="L4" s="2" t="s">
        <v>62</v>
      </c>
      <c r="M4" s="2" t="s">
        <v>62</v>
      </c>
      <c r="N4" s="2" t="s">
        <v>62</v>
      </c>
      <c r="O4" s="2" t="s">
        <v>62</v>
      </c>
      <c r="P4" s="2" t="s">
        <v>62</v>
      </c>
      <c r="Q4" s="2" t="s">
        <v>62</v>
      </c>
      <c r="R4" s="2" t="s">
        <v>62</v>
      </c>
      <c r="S4" s="2" t="s">
        <v>62</v>
      </c>
    </row>
    <row r="5" spans="1:23" x14ac:dyDescent="0.35">
      <c r="A5" s="34" t="s">
        <v>669</v>
      </c>
      <c r="B5" s="34" t="s">
        <v>669</v>
      </c>
      <c r="C5" s="8">
        <v>24479</v>
      </c>
      <c r="D5" s="8">
        <v>29400</v>
      </c>
      <c r="E5" s="8">
        <v>32315</v>
      </c>
      <c r="F5" s="8">
        <v>36797</v>
      </c>
      <c r="G5" s="5">
        <f>SUM(C5:F5)</f>
        <v>122991</v>
      </c>
      <c r="H5" s="8">
        <v>31612</v>
      </c>
      <c r="I5" s="8">
        <v>39126</v>
      </c>
      <c r="J5" s="8">
        <v>46805</v>
      </c>
      <c r="K5" s="8">
        <v>44605</v>
      </c>
      <c r="L5" s="19">
        <f>SUM(H5:K5)</f>
        <v>162148</v>
      </c>
      <c r="M5" s="8">
        <v>45800</v>
      </c>
      <c r="N5" s="8">
        <v>50139</v>
      </c>
      <c r="O5" s="8">
        <v>57633</v>
      </c>
      <c r="P5" s="8">
        <v>63252</v>
      </c>
      <c r="Q5" s="19">
        <f>SUM(M5:P5)</f>
        <v>216824</v>
      </c>
      <c r="R5" s="8">
        <v>54307</v>
      </c>
      <c r="S5" s="347">
        <f>114143-R5</f>
        <v>59836</v>
      </c>
      <c r="V5" s="20"/>
      <c r="W5" s="20"/>
    </row>
    <row r="6" spans="1:23" x14ac:dyDescent="0.35">
      <c r="A6" s="34" t="s">
        <v>690</v>
      </c>
      <c r="B6" s="34" t="s">
        <v>691</v>
      </c>
      <c r="C6" s="8">
        <v>18165</v>
      </c>
      <c r="D6" s="8">
        <v>22013</v>
      </c>
      <c r="E6" s="8">
        <v>20996</v>
      </c>
      <c r="F6" s="8">
        <v>23912</v>
      </c>
      <c r="G6" s="5">
        <f t="shared" ref="G6:G11" si="0">SUM(C6:F6)</f>
        <v>85086</v>
      </c>
      <c r="H6" s="8">
        <v>19477</v>
      </c>
      <c r="I6" s="8">
        <v>31318</v>
      </c>
      <c r="J6" s="8">
        <v>39185</v>
      </c>
      <c r="K6" s="8">
        <v>39086</v>
      </c>
      <c r="L6" s="19">
        <f t="shared" ref="L6:L11" si="1">SUM(H6:K6)</f>
        <v>129066</v>
      </c>
      <c r="M6" s="8">
        <v>33122</v>
      </c>
      <c r="N6" s="8">
        <v>29911</v>
      </c>
      <c r="O6" s="8">
        <v>25068</v>
      </c>
      <c r="P6" s="8">
        <v>28792</v>
      </c>
      <c r="Q6" s="19">
        <f t="shared" ref="Q6:Q11" si="2">SUM(M6:P6)</f>
        <v>116893</v>
      </c>
      <c r="R6" s="8">
        <v>24818</v>
      </c>
      <c r="S6" s="347">
        <f>58852-R6</f>
        <v>34034</v>
      </c>
      <c r="V6" s="20"/>
      <c r="W6" s="20"/>
    </row>
    <row r="7" spans="1:23" x14ac:dyDescent="0.35">
      <c r="A7" s="34" t="s">
        <v>722</v>
      </c>
      <c r="B7" s="34" t="s">
        <v>723</v>
      </c>
      <c r="C7" s="8">
        <v>11016</v>
      </c>
      <c r="D7" s="8">
        <v>10157</v>
      </c>
      <c r="E7" s="8">
        <v>10278</v>
      </c>
      <c r="F7" s="8">
        <v>12161</v>
      </c>
      <c r="G7" s="5">
        <f t="shared" si="0"/>
        <v>43612</v>
      </c>
      <c r="H7" s="8">
        <v>11402</v>
      </c>
      <c r="I7" s="8">
        <v>11367</v>
      </c>
      <c r="J7" s="8">
        <v>10769</v>
      </c>
      <c r="K7" s="8">
        <v>12210</v>
      </c>
      <c r="L7" s="19">
        <f t="shared" si="1"/>
        <v>45748</v>
      </c>
      <c r="M7" s="8">
        <v>13264</v>
      </c>
      <c r="N7" s="8">
        <v>13035</v>
      </c>
      <c r="O7" s="8">
        <v>12230</v>
      </c>
      <c r="P7" s="8">
        <v>13641</v>
      </c>
      <c r="Q7" s="19">
        <f t="shared" si="2"/>
        <v>52170</v>
      </c>
      <c r="R7" s="8">
        <v>14240</v>
      </c>
      <c r="S7" s="347">
        <f>28974-R7</f>
        <v>14734</v>
      </c>
      <c r="V7" s="20"/>
      <c r="W7" s="20"/>
    </row>
    <row r="8" spans="1:23" x14ac:dyDescent="0.35">
      <c r="A8" s="34" t="s">
        <v>688</v>
      </c>
      <c r="B8" s="34" t="s">
        <v>689</v>
      </c>
      <c r="C8" s="8">
        <v>6747</v>
      </c>
      <c r="D8" s="8">
        <v>6333</v>
      </c>
      <c r="E8" s="8">
        <v>7561</v>
      </c>
      <c r="F8" s="8">
        <v>6521</v>
      </c>
      <c r="G8" s="5">
        <f t="shared" si="0"/>
        <v>27162</v>
      </c>
      <c r="H8" s="8">
        <v>8147</v>
      </c>
      <c r="I8" s="8">
        <v>7950</v>
      </c>
      <c r="J8" s="8">
        <v>9022</v>
      </c>
      <c r="K8" s="8">
        <v>7205</v>
      </c>
      <c r="L8" s="19">
        <f t="shared" si="1"/>
        <v>32324</v>
      </c>
      <c r="M8" s="8">
        <v>10114</v>
      </c>
      <c r="N8" s="8">
        <v>8709</v>
      </c>
      <c r="O8" s="8">
        <v>8552</v>
      </c>
      <c r="P8" s="8">
        <v>8220</v>
      </c>
      <c r="Q8" s="19">
        <f t="shared" si="2"/>
        <v>35595</v>
      </c>
      <c r="R8" s="8">
        <v>11366</v>
      </c>
      <c r="S8" s="347">
        <f>22900-R8</f>
        <v>11534</v>
      </c>
      <c r="V8" s="20"/>
      <c r="W8" s="20"/>
    </row>
    <row r="9" spans="1:23" x14ac:dyDescent="0.35">
      <c r="A9" s="34" t="s">
        <v>680</v>
      </c>
      <c r="B9" s="34" t="s">
        <v>681</v>
      </c>
      <c r="C9" s="8">
        <v>5201</v>
      </c>
      <c r="D9" s="8">
        <v>6612</v>
      </c>
      <c r="E9" s="8">
        <v>5600</v>
      </c>
      <c r="F9" s="8">
        <v>5305</v>
      </c>
      <c r="G9" s="5">
        <f>SUM(C9:F9)</f>
        <v>22718</v>
      </c>
      <c r="H9" s="8">
        <v>5076</v>
      </c>
      <c r="I9" s="8">
        <v>6767</v>
      </c>
      <c r="J9" s="8">
        <v>5944</v>
      </c>
      <c r="K9" s="8">
        <v>8407</v>
      </c>
      <c r="L9" s="19">
        <f>SUM(H9:K9)</f>
        <v>26194</v>
      </c>
      <c r="M9" s="8">
        <v>6223</v>
      </c>
      <c r="N9" s="8">
        <v>7632</v>
      </c>
      <c r="O9" s="8">
        <v>7315</v>
      </c>
      <c r="P9" s="8">
        <v>7768</v>
      </c>
      <c r="Q9" s="19">
        <f>SUM(M9:P9)</f>
        <v>28938</v>
      </c>
      <c r="R9" s="8">
        <v>8269</v>
      </c>
      <c r="S9" s="347">
        <f>18120-R9</f>
        <v>9851</v>
      </c>
      <c r="V9" s="20"/>
      <c r="W9" s="20"/>
    </row>
    <row r="10" spans="1:23" x14ac:dyDescent="0.35">
      <c r="A10" s="34" t="s">
        <v>692</v>
      </c>
      <c r="B10" s="34" t="s">
        <v>693</v>
      </c>
      <c r="C10" s="8">
        <v>1624</v>
      </c>
      <c r="D10" s="8">
        <v>4944</v>
      </c>
      <c r="E10" s="8">
        <v>3732</v>
      </c>
      <c r="F10" s="8">
        <v>5293</v>
      </c>
      <c r="G10" s="5">
        <f>SUM(C10:F10)</f>
        <v>15593</v>
      </c>
      <c r="H10" s="8">
        <v>4694</v>
      </c>
      <c r="I10" s="8">
        <v>4631</v>
      </c>
      <c r="J10" s="8">
        <v>6421</v>
      </c>
      <c r="K10" s="8">
        <v>5966</v>
      </c>
      <c r="L10" s="19">
        <f>SUM(H10:K10)</f>
        <v>21712</v>
      </c>
      <c r="M10" s="8">
        <v>5152.9402890000001</v>
      </c>
      <c r="N10" s="8">
        <v>7760</v>
      </c>
      <c r="O10" s="8">
        <v>5053</v>
      </c>
      <c r="P10" s="8">
        <v>6059.0597110000017</v>
      </c>
      <c r="Q10" s="19">
        <f>SUM(M10:P10)</f>
        <v>24025</v>
      </c>
      <c r="R10" s="347">
        <v>9692</v>
      </c>
      <c r="S10" s="347">
        <v>8766</v>
      </c>
      <c r="V10" s="20"/>
      <c r="W10" s="20"/>
    </row>
    <row r="11" spans="1:23" x14ac:dyDescent="0.35">
      <c r="A11" s="34" t="s">
        <v>678</v>
      </c>
      <c r="B11" s="34" t="s">
        <v>679</v>
      </c>
      <c r="C11" s="8">
        <v>3645</v>
      </c>
      <c r="D11" s="8">
        <v>4212</v>
      </c>
      <c r="E11" s="8">
        <v>3738</v>
      </c>
      <c r="F11" s="8">
        <v>3946</v>
      </c>
      <c r="G11" s="5">
        <f t="shared" si="0"/>
        <v>15541</v>
      </c>
      <c r="H11" s="8">
        <v>4887</v>
      </c>
      <c r="I11" s="8">
        <v>5117</v>
      </c>
      <c r="J11" s="8">
        <v>4861</v>
      </c>
      <c r="K11" s="8">
        <v>5831</v>
      </c>
      <c r="L11" s="19">
        <f t="shared" si="1"/>
        <v>20696</v>
      </c>
      <c r="M11" s="8">
        <v>6118</v>
      </c>
      <c r="N11" s="8">
        <v>5965</v>
      </c>
      <c r="O11" s="8">
        <v>5724</v>
      </c>
      <c r="P11" s="8">
        <v>6232</v>
      </c>
      <c r="Q11" s="19">
        <f t="shared" si="2"/>
        <v>24039</v>
      </c>
      <c r="R11" s="8">
        <v>6613</v>
      </c>
      <c r="S11" s="347">
        <f>13318-R11</f>
        <v>6705</v>
      </c>
      <c r="V11" s="20"/>
      <c r="W11" s="20"/>
    </row>
    <row r="12" spans="1:23" x14ac:dyDescent="0.35">
      <c r="A12" s="34" t="s">
        <v>724</v>
      </c>
      <c r="B12" s="34" t="s">
        <v>725</v>
      </c>
      <c r="C12" s="8">
        <v>2920</v>
      </c>
      <c r="D12" s="8">
        <v>3062</v>
      </c>
      <c r="E12" s="8">
        <v>3207</v>
      </c>
      <c r="F12" s="8">
        <v>3628</v>
      </c>
      <c r="G12" s="5">
        <f>SUM(C12:F12)</f>
        <v>12817</v>
      </c>
      <c r="H12" s="8">
        <v>3744</v>
      </c>
      <c r="I12" s="8">
        <v>3915</v>
      </c>
      <c r="J12" s="8">
        <v>3953</v>
      </c>
      <c r="K12" s="8">
        <v>3380</v>
      </c>
      <c r="L12" s="19">
        <f>SUM(H12:K12)</f>
        <v>14992</v>
      </c>
      <c r="M12" s="8">
        <v>4116</v>
      </c>
      <c r="N12" s="8">
        <v>4023</v>
      </c>
      <c r="O12" s="8">
        <v>4456</v>
      </c>
      <c r="P12" s="8">
        <v>4986</v>
      </c>
      <c r="Q12" s="19">
        <f>SUM(M12:P12)</f>
        <v>17581</v>
      </c>
      <c r="R12" s="8">
        <v>5165</v>
      </c>
      <c r="S12" s="347">
        <f>10184-R12</f>
        <v>5019</v>
      </c>
      <c r="V12" s="20"/>
      <c r="W12" s="20"/>
    </row>
    <row r="13" spans="1:23" x14ac:dyDescent="0.35">
      <c r="A13" s="34" t="s">
        <v>682</v>
      </c>
      <c r="B13" s="34" t="s">
        <v>683</v>
      </c>
      <c r="C13" s="8">
        <v>2006</v>
      </c>
      <c r="D13" s="8">
        <v>2438</v>
      </c>
      <c r="E13" s="8">
        <v>2379</v>
      </c>
      <c r="F13" s="8">
        <v>2885</v>
      </c>
      <c r="G13" s="5">
        <f>SUM(C13:F13)</f>
        <v>9708</v>
      </c>
      <c r="H13" s="8">
        <v>2901</v>
      </c>
      <c r="I13" s="8">
        <v>3532</v>
      </c>
      <c r="J13" s="8">
        <v>3897</v>
      </c>
      <c r="K13" s="8">
        <v>4394</v>
      </c>
      <c r="L13" s="19">
        <f>SUM(H13:K13)</f>
        <v>14724</v>
      </c>
      <c r="M13" s="8">
        <v>3759</v>
      </c>
      <c r="N13" s="8">
        <v>4019</v>
      </c>
      <c r="O13" s="8">
        <v>4322</v>
      </c>
      <c r="P13" s="8">
        <v>4375</v>
      </c>
      <c r="Q13" s="19">
        <f>SUM(M13:P13)</f>
        <v>16475</v>
      </c>
      <c r="R13" s="8">
        <v>4449</v>
      </c>
      <c r="S13" s="347">
        <f>9342-R13</f>
        <v>4893</v>
      </c>
      <c r="V13" s="20"/>
      <c r="W13" s="20"/>
    </row>
    <row r="14" spans="1:23" s="353" customFormat="1" x14ac:dyDescent="0.35">
      <c r="A14" s="350" t="s">
        <v>1100</v>
      </c>
      <c r="B14" s="350" t="s">
        <v>685</v>
      </c>
      <c r="C14" s="8">
        <v>1943</v>
      </c>
      <c r="D14" s="347">
        <v>2168</v>
      </c>
      <c r="E14" s="347">
        <v>1766</v>
      </c>
      <c r="F14" s="347">
        <v>1697</v>
      </c>
      <c r="G14" s="5">
        <v>7574</v>
      </c>
      <c r="H14" s="347">
        <v>2694</v>
      </c>
      <c r="I14" s="347">
        <v>2857</v>
      </c>
      <c r="J14" s="347">
        <v>2543</v>
      </c>
      <c r="K14" s="347">
        <v>2988</v>
      </c>
      <c r="L14" s="19">
        <v>11082</v>
      </c>
      <c r="M14" s="347">
        <v>2586</v>
      </c>
      <c r="N14" s="347">
        <v>3905</v>
      </c>
      <c r="O14" s="347">
        <v>4232</v>
      </c>
      <c r="P14" s="347">
        <v>4229</v>
      </c>
      <c r="Q14" s="19">
        <f>SUM(M14:P14)</f>
        <v>14952</v>
      </c>
      <c r="R14" s="347">
        <v>4290</v>
      </c>
      <c r="S14" s="347">
        <f>8824-R14</f>
        <v>4534</v>
      </c>
      <c r="T14" s="354"/>
      <c r="V14" s="354"/>
      <c r="W14" s="354"/>
    </row>
    <row r="15" spans="1:23" s="353" customFormat="1" hidden="1" outlineLevel="1" x14ac:dyDescent="0.35">
      <c r="A15" s="350" t="s">
        <v>686</v>
      </c>
      <c r="B15" s="350" t="s">
        <v>687</v>
      </c>
      <c r="C15" s="347">
        <v>2021</v>
      </c>
      <c r="D15" s="347">
        <v>2243</v>
      </c>
      <c r="E15" s="347">
        <v>2149</v>
      </c>
      <c r="F15" s="347">
        <v>2439</v>
      </c>
      <c r="G15" s="351">
        <f t="shared" ref="G15" si="3">SUM(C15:F15)</f>
        <v>8852</v>
      </c>
      <c r="H15" s="347">
        <v>3987</v>
      </c>
      <c r="I15" s="347">
        <v>3444</v>
      </c>
      <c r="J15" s="347">
        <v>3929</v>
      </c>
      <c r="K15" s="347">
        <v>3430</v>
      </c>
      <c r="L15" s="19">
        <f t="shared" ref="L15" si="4">SUM(H15:K15)</f>
        <v>14790</v>
      </c>
      <c r="M15" s="347">
        <v>3682</v>
      </c>
      <c r="N15" s="347">
        <v>3518</v>
      </c>
      <c r="O15" s="347">
        <v>4077</v>
      </c>
      <c r="P15" s="347">
        <v>4347</v>
      </c>
      <c r="Q15" s="19">
        <f t="shared" ref="Q15" si="5">SUM(M15:P15)</f>
        <v>15624</v>
      </c>
      <c r="R15" s="347">
        <v>3690</v>
      </c>
      <c r="S15" s="347">
        <f>7630-R15</f>
        <v>3940</v>
      </c>
      <c r="V15" s="354"/>
      <c r="W15" s="354"/>
    </row>
    <row r="16" spans="1:23" collapsed="1" x14ac:dyDescent="0.35">
      <c r="A16" s="11" t="s">
        <v>142</v>
      </c>
      <c r="B16" s="11" t="s">
        <v>64</v>
      </c>
      <c r="C16" s="12">
        <f t="shared" ref="C16:S16" si="6">SUM(C5:C14)</f>
        <v>77746</v>
      </c>
      <c r="D16" s="12">
        <f t="shared" si="6"/>
        <v>91339</v>
      </c>
      <c r="E16" s="12">
        <f t="shared" si="6"/>
        <v>91572</v>
      </c>
      <c r="F16" s="12">
        <f t="shared" si="6"/>
        <v>102145</v>
      </c>
      <c r="G16" s="13">
        <f t="shared" si="6"/>
        <v>362802</v>
      </c>
      <c r="H16" s="12">
        <f t="shared" si="6"/>
        <v>94634</v>
      </c>
      <c r="I16" s="12">
        <f t="shared" si="6"/>
        <v>116580</v>
      </c>
      <c r="J16" s="12">
        <f t="shared" si="6"/>
        <v>133400</v>
      </c>
      <c r="K16" s="12">
        <f t="shared" si="6"/>
        <v>134072</v>
      </c>
      <c r="L16" s="13">
        <f t="shared" si="6"/>
        <v>478686</v>
      </c>
      <c r="M16" s="12">
        <f t="shared" si="6"/>
        <v>130254.94028900001</v>
      </c>
      <c r="N16" s="12">
        <f t="shared" si="6"/>
        <v>135098</v>
      </c>
      <c r="O16" s="12">
        <f t="shared" si="6"/>
        <v>134585</v>
      </c>
      <c r="P16" s="12">
        <f t="shared" si="6"/>
        <v>147554.05971100001</v>
      </c>
      <c r="Q16" s="13">
        <f t="shared" si="6"/>
        <v>547492</v>
      </c>
      <c r="R16" s="12">
        <f t="shared" si="6"/>
        <v>143209</v>
      </c>
      <c r="S16" s="349">
        <f t="shared" si="6"/>
        <v>159906</v>
      </c>
      <c r="T16" s="10"/>
      <c r="V16" s="20"/>
      <c r="W16" s="20"/>
    </row>
    <row r="17" spans="1:19" x14ac:dyDescent="0.35">
      <c r="P17" s="20"/>
      <c r="Q17" s="8"/>
    </row>
    <row r="18" spans="1:19" ht="15" thickBot="1" x14ac:dyDescent="0.4">
      <c r="L18" s="20"/>
    </row>
    <row r="19" spans="1:19" ht="26.25" customHeight="1" thickBot="1" x14ac:dyDescent="0.4">
      <c r="A19" s="512" t="s">
        <v>737</v>
      </c>
      <c r="B19" s="512" t="s">
        <v>738</v>
      </c>
      <c r="C19" s="1" t="s">
        <v>49</v>
      </c>
      <c r="D19" s="1" t="s">
        <v>50</v>
      </c>
      <c r="E19" s="1" t="s">
        <v>51</v>
      </c>
      <c r="F19" s="1" t="s">
        <v>52</v>
      </c>
      <c r="G19" s="1">
        <v>2021</v>
      </c>
      <c r="H19" s="1" t="s">
        <v>53</v>
      </c>
      <c r="I19" s="1" t="s">
        <v>54</v>
      </c>
      <c r="J19" s="1" t="s">
        <v>55</v>
      </c>
      <c r="K19" s="1" t="s">
        <v>56</v>
      </c>
      <c r="L19" s="1">
        <v>2022</v>
      </c>
      <c r="M19" s="1" t="s">
        <v>57</v>
      </c>
      <c r="N19" s="1" t="s">
        <v>58</v>
      </c>
      <c r="O19" s="1" t="s">
        <v>59</v>
      </c>
      <c r="P19" s="1" t="s">
        <v>60</v>
      </c>
      <c r="Q19" s="1">
        <v>2023</v>
      </c>
      <c r="R19" s="1" t="s">
        <v>61</v>
      </c>
      <c r="S19" s="1" t="s">
        <v>1166</v>
      </c>
    </row>
    <row r="20" spans="1:19" ht="15" thickTop="1" x14ac:dyDescent="0.35">
      <c r="A20" s="513"/>
      <c r="B20" s="513"/>
      <c r="C20" s="2" t="s">
        <v>62</v>
      </c>
      <c r="D20" s="2" t="s">
        <v>62</v>
      </c>
      <c r="E20" s="2" t="s">
        <v>62</v>
      </c>
      <c r="F20" s="2" t="s">
        <v>62</v>
      </c>
      <c r="G20" s="2" t="s">
        <v>62</v>
      </c>
      <c r="H20" s="2" t="s">
        <v>62</v>
      </c>
      <c r="I20" s="2" t="s">
        <v>62</v>
      </c>
      <c r="J20" s="2" t="s">
        <v>62</v>
      </c>
      <c r="K20" s="2" t="s">
        <v>62</v>
      </c>
      <c r="L20" s="2" t="s">
        <v>62</v>
      </c>
      <c r="M20" s="2" t="s">
        <v>62</v>
      </c>
      <c r="N20" s="2" t="s">
        <v>62</v>
      </c>
      <c r="O20" s="2" t="s">
        <v>62</v>
      </c>
      <c r="P20" s="2" t="s">
        <v>62</v>
      </c>
      <c r="Q20" s="2" t="s">
        <v>62</v>
      </c>
      <c r="R20" s="2" t="s">
        <v>62</v>
      </c>
      <c r="S20" s="2" t="s">
        <v>62</v>
      </c>
    </row>
    <row r="21" spans="1:19" x14ac:dyDescent="0.35">
      <c r="A21" s="34" t="s">
        <v>667</v>
      </c>
      <c r="B21" s="34" t="s">
        <v>667</v>
      </c>
      <c r="C21" s="8">
        <v>21487</v>
      </c>
      <c r="D21" s="8">
        <v>24179</v>
      </c>
      <c r="E21" s="8">
        <v>28663</v>
      </c>
      <c r="F21" s="8">
        <v>31847</v>
      </c>
      <c r="G21" s="5">
        <f>SUM(C21:F21)</f>
        <v>106176</v>
      </c>
      <c r="H21" s="8">
        <v>29030</v>
      </c>
      <c r="I21" s="8">
        <v>31749</v>
      </c>
      <c r="J21" s="8">
        <v>42979</v>
      </c>
      <c r="K21" s="8">
        <v>42144</v>
      </c>
      <c r="L21" s="19">
        <f>SUM(H21:K21)</f>
        <v>145902</v>
      </c>
      <c r="M21" s="8">
        <v>43295</v>
      </c>
      <c r="N21" s="8">
        <v>46115</v>
      </c>
      <c r="O21" s="8">
        <v>55141</v>
      </c>
      <c r="P21" s="8">
        <v>61111.399999999994</v>
      </c>
      <c r="Q21" s="19">
        <f>SUM(M21:P21)</f>
        <v>205662.4</v>
      </c>
      <c r="R21" s="347">
        <v>53255</v>
      </c>
      <c r="S21" s="347">
        <f>110093-R21</f>
        <v>56838</v>
      </c>
    </row>
    <row r="22" spans="1:19" x14ac:dyDescent="0.35">
      <c r="A22" s="34" t="s">
        <v>739</v>
      </c>
      <c r="B22" s="34" t="s">
        <v>739</v>
      </c>
      <c r="C22" s="8">
        <v>3373</v>
      </c>
      <c r="D22" s="8">
        <v>2556</v>
      </c>
      <c r="E22" s="8">
        <v>3775</v>
      </c>
      <c r="F22" s="8">
        <v>3808</v>
      </c>
      <c r="G22" s="5">
        <f>SUM(C22:F22)</f>
        <v>13512</v>
      </c>
      <c r="H22" s="8">
        <v>5291</v>
      </c>
      <c r="I22" s="8">
        <v>6510</v>
      </c>
      <c r="J22" s="8">
        <v>7916</v>
      </c>
      <c r="K22" s="8">
        <v>9042</v>
      </c>
      <c r="L22" s="19">
        <f>SUM(H22:K22)</f>
        <v>28759</v>
      </c>
      <c r="M22" s="8">
        <v>7137</v>
      </c>
      <c r="N22" s="8">
        <v>7567</v>
      </c>
      <c r="O22" s="8">
        <v>8752</v>
      </c>
      <c r="P22" s="8">
        <v>6689</v>
      </c>
      <c r="Q22" s="19">
        <f>SUM(M22:P22)</f>
        <v>30145</v>
      </c>
      <c r="R22" s="347">
        <v>7671</v>
      </c>
      <c r="S22" s="347">
        <f>17609-R22</f>
        <v>9938</v>
      </c>
    </row>
    <row r="23" spans="1:19" x14ac:dyDescent="0.35">
      <c r="A23" s="34" t="s">
        <v>740</v>
      </c>
      <c r="B23" s="34" t="s">
        <v>740</v>
      </c>
      <c r="C23" s="8">
        <v>4521</v>
      </c>
      <c r="D23" s="8">
        <v>5738</v>
      </c>
      <c r="E23" s="8">
        <v>5081</v>
      </c>
      <c r="F23" s="8">
        <v>6688</v>
      </c>
      <c r="G23" s="5">
        <f t="shared" ref="G23" si="7">SUM(C23:F23)</f>
        <v>22028</v>
      </c>
      <c r="H23" s="8">
        <v>5644</v>
      </c>
      <c r="I23" s="8">
        <v>7864</v>
      </c>
      <c r="J23" s="8">
        <v>6641</v>
      </c>
      <c r="K23" s="8">
        <v>6154</v>
      </c>
      <c r="L23" s="19">
        <f t="shared" ref="L23:L24" si="8">SUM(H23:K23)</f>
        <v>26303</v>
      </c>
      <c r="M23" s="8">
        <v>7349</v>
      </c>
      <c r="N23" s="8">
        <v>7756</v>
      </c>
      <c r="O23" s="8">
        <v>7856</v>
      </c>
      <c r="P23" s="8">
        <v>6577</v>
      </c>
      <c r="Q23" s="19">
        <f>SUM(M23:P23)</f>
        <v>29538</v>
      </c>
      <c r="R23" s="347">
        <v>10896</v>
      </c>
      <c r="S23" s="347">
        <f>20186-R23</f>
        <v>9290</v>
      </c>
    </row>
    <row r="24" spans="1:19" x14ac:dyDescent="0.35">
      <c r="A24" s="34" t="s">
        <v>741</v>
      </c>
      <c r="B24" s="34" t="s">
        <v>741</v>
      </c>
      <c r="C24" s="8">
        <v>3442</v>
      </c>
      <c r="D24" s="8">
        <v>4894</v>
      </c>
      <c r="E24" s="8">
        <v>4523</v>
      </c>
      <c r="F24" s="8">
        <v>5302</v>
      </c>
      <c r="G24" s="5">
        <f t="shared" ref="G24:G29" si="9">SUM(C24:F24)</f>
        <v>18161</v>
      </c>
      <c r="H24" s="8">
        <v>4384</v>
      </c>
      <c r="I24" s="8">
        <v>8055</v>
      </c>
      <c r="J24" s="8">
        <v>7469</v>
      </c>
      <c r="K24" s="8">
        <v>9015</v>
      </c>
      <c r="L24" s="19">
        <f t="shared" si="8"/>
        <v>28923</v>
      </c>
      <c r="M24" s="8">
        <v>6259.1089629999997</v>
      </c>
      <c r="N24" s="8">
        <v>7183.2215999999999</v>
      </c>
      <c r="O24" s="8">
        <v>6197.1697780000004</v>
      </c>
      <c r="P24" s="8">
        <v>7515.4996590000001</v>
      </c>
      <c r="Q24" s="19">
        <f t="shared" ref="Q24" si="10">SUM(M24:P24)</f>
        <v>27155</v>
      </c>
      <c r="R24" s="347">
        <v>5108</v>
      </c>
      <c r="S24" s="347">
        <f>13102-R24</f>
        <v>7994</v>
      </c>
    </row>
    <row r="25" spans="1:19" x14ac:dyDescent="0.35">
      <c r="A25" s="34" t="s">
        <v>743</v>
      </c>
      <c r="B25" s="34" t="s">
        <v>743</v>
      </c>
      <c r="C25" s="8">
        <v>2375</v>
      </c>
      <c r="D25" s="8">
        <v>3409</v>
      </c>
      <c r="E25" s="8">
        <v>3489</v>
      </c>
      <c r="F25" s="8">
        <v>3913</v>
      </c>
      <c r="G25" s="5">
        <f t="shared" si="9"/>
        <v>13186</v>
      </c>
      <c r="H25" s="8">
        <v>3536</v>
      </c>
      <c r="I25" s="8">
        <v>5696</v>
      </c>
      <c r="J25" s="8">
        <v>5669</v>
      </c>
      <c r="K25" s="8">
        <v>6010</v>
      </c>
      <c r="L25" s="19">
        <f>SUM(H25:K25)</f>
        <v>20911</v>
      </c>
      <c r="M25" s="8">
        <v>5032</v>
      </c>
      <c r="N25" s="8">
        <v>5260</v>
      </c>
      <c r="O25" s="8">
        <v>6212</v>
      </c>
      <c r="P25" s="8">
        <f>Q25-M25-N25-O25</f>
        <v>5178</v>
      </c>
      <c r="Q25" s="19">
        <v>21682</v>
      </c>
      <c r="R25" s="347">
        <v>6072</v>
      </c>
      <c r="S25" s="347">
        <f>13050-R25</f>
        <v>6978</v>
      </c>
    </row>
    <row r="26" spans="1:19" x14ac:dyDescent="0.35">
      <c r="A26" s="34" t="s">
        <v>744</v>
      </c>
      <c r="B26" s="34" t="s">
        <v>744</v>
      </c>
      <c r="C26" s="8">
        <v>3858</v>
      </c>
      <c r="D26" s="8">
        <v>4150</v>
      </c>
      <c r="E26" s="8">
        <v>4621</v>
      </c>
      <c r="F26" s="8">
        <v>4231</v>
      </c>
      <c r="G26" s="5">
        <f t="shared" si="9"/>
        <v>16860</v>
      </c>
      <c r="H26" s="8">
        <v>4303</v>
      </c>
      <c r="I26" s="8">
        <v>4423</v>
      </c>
      <c r="J26" s="8">
        <v>4991</v>
      </c>
      <c r="K26" s="8">
        <v>5014</v>
      </c>
      <c r="L26" s="19">
        <f>SUM(H26:K26)</f>
        <v>18731</v>
      </c>
      <c r="M26" s="8">
        <v>4708</v>
      </c>
      <c r="N26" s="8">
        <v>4884</v>
      </c>
      <c r="O26" s="8">
        <v>4914</v>
      </c>
      <c r="P26" s="8">
        <v>4844</v>
      </c>
      <c r="Q26" s="19">
        <f>SUM(M26:P26)</f>
        <v>19350</v>
      </c>
      <c r="R26" s="347">
        <v>5295</v>
      </c>
      <c r="S26" s="347">
        <f>10970-R26</f>
        <v>5675</v>
      </c>
    </row>
    <row r="27" spans="1:19" x14ac:dyDescent="0.35">
      <c r="A27" s="34" t="s">
        <v>746</v>
      </c>
      <c r="B27" s="34" t="s">
        <v>746</v>
      </c>
      <c r="C27" s="8">
        <v>3840</v>
      </c>
      <c r="D27" s="8">
        <v>3854</v>
      </c>
      <c r="E27" s="8">
        <v>3763</v>
      </c>
      <c r="F27" s="8">
        <v>4202</v>
      </c>
      <c r="G27" s="5">
        <f t="shared" si="9"/>
        <v>15659</v>
      </c>
      <c r="H27" s="8">
        <v>4024</v>
      </c>
      <c r="I27" s="8">
        <v>4013</v>
      </c>
      <c r="J27" s="8">
        <v>5338</v>
      </c>
      <c r="K27" s="8">
        <v>4676</v>
      </c>
      <c r="L27" s="19">
        <f t="shared" ref="L27:L28" si="11">SUM(H27:K27)</f>
        <v>18051</v>
      </c>
      <c r="M27" s="8">
        <v>4445</v>
      </c>
      <c r="N27" s="8">
        <v>4969</v>
      </c>
      <c r="O27" s="8">
        <v>4199</v>
      </c>
      <c r="P27" s="8">
        <v>3779</v>
      </c>
      <c r="Q27" s="19">
        <f>SUM(M27:P27)</f>
        <v>17392</v>
      </c>
      <c r="R27" s="347">
        <v>4294</v>
      </c>
      <c r="S27" s="347">
        <f>9828-R27</f>
        <v>5534</v>
      </c>
    </row>
    <row r="28" spans="1:19" x14ac:dyDescent="0.35">
      <c r="A28" s="34" t="s">
        <v>747</v>
      </c>
      <c r="B28" s="34" t="s">
        <v>747</v>
      </c>
      <c r="C28" s="8">
        <v>3384</v>
      </c>
      <c r="D28" s="8">
        <v>3390</v>
      </c>
      <c r="E28" s="8">
        <v>2719</v>
      </c>
      <c r="F28" s="8">
        <v>2775</v>
      </c>
      <c r="G28" s="5">
        <f t="shared" si="9"/>
        <v>12268</v>
      </c>
      <c r="H28" s="8">
        <v>2897</v>
      </c>
      <c r="I28" s="8">
        <v>4279</v>
      </c>
      <c r="J28" s="8">
        <v>4648</v>
      </c>
      <c r="K28" s="8">
        <v>4235</v>
      </c>
      <c r="L28" s="19">
        <f t="shared" si="11"/>
        <v>16059</v>
      </c>
      <c r="M28" s="8">
        <v>5483</v>
      </c>
      <c r="N28" s="8">
        <v>4563</v>
      </c>
      <c r="O28" s="8">
        <v>3600</v>
      </c>
      <c r="P28" s="8">
        <v>3185</v>
      </c>
      <c r="Q28" s="19">
        <f>SUM(M28:P28)</f>
        <v>16831</v>
      </c>
      <c r="R28" s="347">
        <v>4089</v>
      </c>
      <c r="S28" s="347">
        <f>8926-R28</f>
        <v>4837</v>
      </c>
    </row>
    <row r="29" spans="1:19" x14ac:dyDescent="0.35">
      <c r="A29" s="34" t="s">
        <v>742</v>
      </c>
      <c r="B29" s="34" t="s">
        <v>742</v>
      </c>
      <c r="C29" s="8">
        <v>5255</v>
      </c>
      <c r="D29" s="8">
        <v>5170</v>
      </c>
      <c r="E29" s="8">
        <v>4558</v>
      </c>
      <c r="F29" s="8">
        <v>4646</v>
      </c>
      <c r="G29" s="5">
        <f t="shared" si="9"/>
        <v>19629</v>
      </c>
      <c r="H29" s="8">
        <v>5772</v>
      </c>
      <c r="I29" s="8">
        <v>5423</v>
      </c>
      <c r="J29" s="8">
        <v>4454</v>
      </c>
      <c r="K29" s="8">
        <v>5978</v>
      </c>
      <c r="L29" s="19">
        <f>SUM(H29:K29)</f>
        <v>21627</v>
      </c>
      <c r="M29" s="8">
        <v>6147</v>
      </c>
      <c r="N29" s="8">
        <v>6210</v>
      </c>
      <c r="O29" s="8">
        <v>4334</v>
      </c>
      <c r="P29" s="8">
        <v>5305</v>
      </c>
      <c r="Q29" s="19">
        <f>SUM(M29:P29)</f>
        <v>21996</v>
      </c>
      <c r="R29" s="347">
        <v>5344</v>
      </c>
      <c r="S29" s="347">
        <f>9449-R29</f>
        <v>4105</v>
      </c>
    </row>
    <row r="30" spans="1:19" x14ac:dyDescent="0.35">
      <c r="A30" s="34" t="s">
        <v>745</v>
      </c>
      <c r="B30" s="34" t="s">
        <v>745</v>
      </c>
      <c r="C30" s="8">
        <v>3461</v>
      </c>
      <c r="D30" s="8">
        <v>3911</v>
      </c>
      <c r="E30" s="8">
        <v>3475</v>
      </c>
      <c r="F30" s="8">
        <v>4928</v>
      </c>
      <c r="G30" s="5">
        <f t="shared" ref="G30" si="12">SUM(C30:F30)</f>
        <v>15775</v>
      </c>
      <c r="H30" s="8">
        <v>3764</v>
      </c>
      <c r="I30" s="8">
        <v>3997</v>
      </c>
      <c r="J30" s="8">
        <v>5341</v>
      </c>
      <c r="K30" s="8">
        <v>5366</v>
      </c>
      <c r="L30" s="19">
        <f t="shared" ref="L30" si="13">SUM(H30:K30)</f>
        <v>18468</v>
      </c>
      <c r="M30" s="8">
        <v>5240</v>
      </c>
      <c r="N30" s="8">
        <v>4634</v>
      </c>
      <c r="O30" s="8">
        <v>3639</v>
      </c>
      <c r="P30" s="8">
        <v>4201</v>
      </c>
      <c r="Q30" s="19">
        <f>SUM(M30:P30)</f>
        <v>17714</v>
      </c>
      <c r="R30" s="347">
        <v>4388</v>
      </c>
      <c r="S30" s="347">
        <f>8363-R30</f>
        <v>3975</v>
      </c>
    </row>
    <row r="31" spans="1:19" x14ac:dyDescent="0.35">
      <c r="A31" s="11" t="s">
        <v>142</v>
      </c>
      <c r="B31" s="11" t="s">
        <v>64</v>
      </c>
      <c r="C31" s="12">
        <f t="shared" ref="C31:S31" si="14">SUM(C21:C30)</f>
        <v>54996</v>
      </c>
      <c r="D31" s="12">
        <f t="shared" si="14"/>
        <v>61251</v>
      </c>
      <c r="E31" s="12">
        <f t="shared" si="14"/>
        <v>64667</v>
      </c>
      <c r="F31" s="12">
        <f t="shared" si="14"/>
        <v>72340</v>
      </c>
      <c r="G31" s="13">
        <f t="shared" si="14"/>
        <v>253254</v>
      </c>
      <c r="H31" s="12">
        <f t="shared" si="14"/>
        <v>68645</v>
      </c>
      <c r="I31" s="12">
        <f t="shared" si="14"/>
        <v>82009</v>
      </c>
      <c r="J31" s="12">
        <f t="shared" si="14"/>
        <v>95446</v>
      </c>
      <c r="K31" s="12">
        <f t="shared" si="14"/>
        <v>97634</v>
      </c>
      <c r="L31" s="13">
        <f t="shared" si="14"/>
        <v>343734</v>
      </c>
      <c r="M31" s="12">
        <f t="shared" si="14"/>
        <v>95095.108963000006</v>
      </c>
      <c r="N31" s="12">
        <f t="shared" si="14"/>
        <v>99141.221600000004</v>
      </c>
      <c r="O31" s="12">
        <f t="shared" si="14"/>
        <v>104844.169778</v>
      </c>
      <c r="P31" s="349">
        <f t="shared" si="14"/>
        <v>108384.89965899999</v>
      </c>
      <c r="Q31" s="13">
        <f t="shared" si="14"/>
        <v>407465.4</v>
      </c>
      <c r="R31" s="349">
        <f t="shared" si="14"/>
        <v>106412</v>
      </c>
      <c r="S31" s="349">
        <f t="shared" si="14"/>
        <v>115164</v>
      </c>
    </row>
    <row r="32" spans="1:19" x14ac:dyDescent="0.35">
      <c r="P32" s="20"/>
    </row>
    <row r="33" spans="1:17" x14ac:dyDescent="0.35">
      <c r="A33" s="322" t="s">
        <v>748</v>
      </c>
      <c r="B33" s="322" t="s">
        <v>749</v>
      </c>
      <c r="P33" s="20"/>
    </row>
    <row r="35" spans="1:17" x14ac:dyDescent="0.35">
      <c r="E35" s="20"/>
      <c r="G35" s="20"/>
      <c r="J35" s="20"/>
      <c r="L35" s="20"/>
      <c r="Q35" s="20"/>
    </row>
  </sheetData>
  <mergeCells count="5">
    <mergeCell ref="B3:B4"/>
    <mergeCell ref="B19:B20"/>
    <mergeCell ref="A3:A4"/>
    <mergeCell ref="A19:A20"/>
    <mergeCell ref="A2:B2"/>
  </mergeCells>
  <phoneticPr fontId="59" type="noConversion"/>
  <pageMargins left="0.7" right="0.7" top="0.75" bottom="0.75" header="0.3" footer="0.3"/>
  <pageSetup paperSize="9" orientation="portrait" verticalDpi="0" r:id="rId1"/>
  <customProperties>
    <customPr name="EpmWorksheetKeyString_GU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FD6E6-1EC8-42B0-B150-DB03227FB876}">
  <sheetPr>
    <tabColor rgb="FF0070C0"/>
  </sheetPr>
  <dimension ref="A1:AD36"/>
  <sheetViews>
    <sheetView zoomScale="75" zoomScaleNormal="75" workbookViewId="0">
      <pane xSplit="2" topLeftCell="AA1" activePane="topRight" state="frozen"/>
      <selection activeCell="A31" sqref="A31"/>
      <selection pane="topRight" activeCell="AB15" sqref="AB15"/>
    </sheetView>
  </sheetViews>
  <sheetFormatPr defaultRowHeight="14.5" x14ac:dyDescent="0.35"/>
  <cols>
    <col min="1" max="1" width="57.1796875" customWidth="1"/>
    <col min="2" max="2" width="58.81640625" customWidth="1"/>
    <col min="3" max="30" width="21.54296875" customWidth="1"/>
  </cols>
  <sheetData>
    <row r="1" spans="1:30" ht="33" customHeight="1" thickBot="1" x14ac:dyDescent="0.4"/>
    <row r="2" spans="1:30" ht="15" thickBot="1" x14ac:dyDescent="0.4">
      <c r="A2" s="507" t="s">
        <v>750</v>
      </c>
      <c r="B2" s="506" t="s">
        <v>751</v>
      </c>
      <c r="C2" s="516" t="s">
        <v>49</v>
      </c>
      <c r="D2" s="517"/>
      <c r="E2" s="516" t="s">
        <v>50</v>
      </c>
      <c r="F2" s="517"/>
      <c r="G2" s="516" t="s">
        <v>51</v>
      </c>
      <c r="H2" s="517"/>
      <c r="I2" s="516" t="s">
        <v>52</v>
      </c>
      <c r="J2" s="517"/>
      <c r="K2" s="516" t="s">
        <v>53</v>
      </c>
      <c r="L2" s="517"/>
      <c r="M2" s="516" t="s">
        <v>54</v>
      </c>
      <c r="N2" s="517"/>
      <c r="O2" s="516" t="s">
        <v>55</v>
      </c>
      <c r="P2" s="517"/>
      <c r="Q2" s="516" t="s">
        <v>56</v>
      </c>
      <c r="R2" s="517"/>
      <c r="S2" s="516" t="s">
        <v>57</v>
      </c>
      <c r="T2" s="517"/>
      <c r="U2" s="516" t="s">
        <v>58</v>
      </c>
      <c r="V2" s="517"/>
      <c r="W2" s="516" t="s">
        <v>59</v>
      </c>
      <c r="X2" s="517"/>
      <c r="Y2" s="516" t="s">
        <v>60</v>
      </c>
      <c r="Z2" s="517"/>
      <c r="AA2" s="516" t="s">
        <v>61</v>
      </c>
      <c r="AB2" s="517"/>
      <c r="AC2" s="516" t="s">
        <v>1166</v>
      </c>
      <c r="AD2" s="517"/>
    </row>
    <row r="3" spans="1:30" ht="33" customHeight="1" thickTop="1" thickBot="1" x14ac:dyDescent="0.4">
      <c r="A3" s="507"/>
      <c r="B3" s="506"/>
      <c r="C3" s="266" t="s">
        <v>752</v>
      </c>
      <c r="D3" s="267" t="s">
        <v>753</v>
      </c>
      <c r="E3" s="266" t="s">
        <v>752</v>
      </c>
      <c r="F3" s="267" t="s">
        <v>753</v>
      </c>
      <c r="G3" s="266" t="s">
        <v>752</v>
      </c>
      <c r="H3" s="267" t="s">
        <v>753</v>
      </c>
      <c r="I3" s="266" t="s">
        <v>752</v>
      </c>
      <c r="J3" s="267" t="s">
        <v>753</v>
      </c>
      <c r="K3" s="266" t="s">
        <v>752</v>
      </c>
      <c r="L3" s="267" t="s">
        <v>753</v>
      </c>
      <c r="M3" s="266" t="s">
        <v>752</v>
      </c>
      <c r="N3" s="267" t="s">
        <v>753</v>
      </c>
      <c r="O3" s="266" t="s">
        <v>752</v>
      </c>
      <c r="P3" s="267" t="s">
        <v>753</v>
      </c>
      <c r="Q3" s="266" t="s">
        <v>752</v>
      </c>
      <c r="R3" s="267" t="s">
        <v>753</v>
      </c>
      <c r="S3" s="266" t="s">
        <v>752</v>
      </c>
      <c r="T3" s="267" t="s">
        <v>753</v>
      </c>
      <c r="U3" s="266" t="s">
        <v>752</v>
      </c>
      <c r="V3" s="267" t="s">
        <v>753</v>
      </c>
      <c r="W3" s="266" t="s">
        <v>752</v>
      </c>
      <c r="X3" s="267" t="s">
        <v>753</v>
      </c>
      <c r="Y3" s="266" t="s">
        <v>752</v>
      </c>
      <c r="Z3" s="267" t="s">
        <v>753</v>
      </c>
      <c r="AA3" s="266" t="s">
        <v>752</v>
      </c>
      <c r="AB3" s="267" t="s">
        <v>753</v>
      </c>
      <c r="AC3" s="266" t="s">
        <v>752</v>
      </c>
      <c r="AD3" s="267" t="s">
        <v>753</v>
      </c>
    </row>
    <row r="4" spans="1:30" ht="15" thickTop="1" x14ac:dyDescent="0.35">
      <c r="A4" s="507"/>
      <c r="B4" s="506"/>
      <c r="C4" s="91" t="s">
        <v>754</v>
      </c>
      <c r="D4" s="91" t="s">
        <v>755</v>
      </c>
      <c r="E4" s="91" t="s">
        <v>754</v>
      </c>
      <c r="F4" s="91" t="s">
        <v>755</v>
      </c>
      <c r="G4" s="91" t="s">
        <v>756</v>
      </c>
      <c r="H4" s="91" t="s">
        <v>755</v>
      </c>
      <c r="I4" s="91" t="s">
        <v>756</v>
      </c>
      <c r="J4" s="91" t="s">
        <v>755</v>
      </c>
      <c r="K4" s="91" t="s">
        <v>756</v>
      </c>
      <c r="L4" s="91" t="s">
        <v>755</v>
      </c>
      <c r="M4" s="91" t="s">
        <v>756</v>
      </c>
      <c r="N4" s="91" t="s">
        <v>755</v>
      </c>
      <c r="O4" s="91" t="s">
        <v>756</v>
      </c>
      <c r="P4" s="91" t="s">
        <v>755</v>
      </c>
      <c r="Q4" s="91" t="s">
        <v>756</v>
      </c>
      <c r="R4" s="91" t="s">
        <v>755</v>
      </c>
      <c r="S4" s="91" t="s">
        <v>756</v>
      </c>
      <c r="T4" s="91" t="s">
        <v>755</v>
      </c>
      <c r="U4" s="91" t="s">
        <v>756</v>
      </c>
      <c r="V4" s="91" t="s">
        <v>755</v>
      </c>
      <c r="W4" s="91" t="s">
        <v>756</v>
      </c>
      <c r="X4" s="91" t="s">
        <v>755</v>
      </c>
      <c r="Y4" s="91" t="s">
        <v>756</v>
      </c>
      <c r="Z4" s="91" t="s">
        <v>755</v>
      </c>
      <c r="AA4" s="91" t="s">
        <v>756</v>
      </c>
      <c r="AB4" s="91" t="s">
        <v>755</v>
      </c>
      <c r="AC4" s="91" t="s">
        <v>756</v>
      </c>
      <c r="AD4" s="91" t="s">
        <v>755</v>
      </c>
    </row>
    <row r="5" spans="1:30" s="31" customFormat="1" x14ac:dyDescent="0.35">
      <c r="A5" s="201" t="s">
        <v>757</v>
      </c>
      <c r="B5" s="201" t="s">
        <v>758</v>
      </c>
      <c r="C5" s="202">
        <v>61062910</v>
      </c>
      <c r="D5" s="323">
        <v>32.76</v>
      </c>
      <c r="E5" s="202">
        <v>63475762</v>
      </c>
      <c r="F5" s="323">
        <v>34.06</v>
      </c>
      <c r="G5" s="202">
        <v>62899493</v>
      </c>
      <c r="H5" s="323">
        <v>33.75</v>
      </c>
      <c r="I5" s="202">
        <v>64689461</v>
      </c>
      <c r="J5" s="323">
        <v>34.700000000000003</v>
      </c>
      <c r="K5" s="202">
        <v>66132567</v>
      </c>
      <c r="L5" s="323">
        <v>35.479999999999997</v>
      </c>
      <c r="M5" s="202">
        <v>65848071</v>
      </c>
      <c r="N5" s="323">
        <v>35.33</v>
      </c>
      <c r="O5" s="202">
        <v>63501217</v>
      </c>
      <c r="P5" s="323">
        <v>34.07</v>
      </c>
      <c r="Q5" s="202">
        <v>62278172</v>
      </c>
      <c r="R5" s="323">
        <v>33.42</v>
      </c>
      <c r="S5" s="204">
        <v>63451409</v>
      </c>
      <c r="T5" s="328">
        <v>34.04</v>
      </c>
      <c r="U5" s="204">
        <v>62557529</v>
      </c>
      <c r="V5" s="328">
        <v>33.56</v>
      </c>
      <c r="W5" s="204">
        <v>61161779</v>
      </c>
      <c r="X5" s="328">
        <v>32.82</v>
      </c>
      <c r="Y5" s="202">
        <v>61831855</v>
      </c>
      <c r="Z5" s="357">
        <v>33.18</v>
      </c>
      <c r="AA5" s="368">
        <v>62549191</v>
      </c>
      <c r="AB5" s="374">
        <v>33.56</v>
      </c>
      <c r="AC5" s="204">
        <v>63895934</v>
      </c>
      <c r="AD5" s="328">
        <v>34.28</v>
      </c>
    </row>
    <row r="6" spans="1:30" x14ac:dyDescent="0.35">
      <c r="A6" s="105" t="s">
        <v>759</v>
      </c>
      <c r="B6" s="105" t="s">
        <v>760</v>
      </c>
      <c r="C6" s="96">
        <v>9777784</v>
      </c>
      <c r="D6" s="324">
        <v>5.24</v>
      </c>
      <c r="E6" s="96">
        <v>9777784</v>
      </c>
      <c r="F6" s="324">
        <v>5.25</v>
      </c>
      <c r="G6" s="96">
        <v>126</v>
      </c>
      <c r="H6" s="324">
        <v>0</v>
      </c>
      <c r="I6" s="96">
        <v>126</v>
      </c>
      <c r="J6" s="324">
        <v>0</v>
      </c>
      <c r="K6" s="96">
        <v>126</v>
      </c>
      <c r="L6" s="324">
        <v>0</v>
      </c>
      <c r="M6" s="96">
        <v>126</v>
      </c>
      <c r="N6" s="324">
        <v>0</v>
      </c>
      <c r="O6" s="96">
        <v>126</v>
      </c>
      <c r="P6" s="324">
        <v>0</v>
      </c>
      <c r="Q6" s="96">
        <v>126</v>
      </c>
      <c r="R6" s="324">
        <v>0</v>
      </c>
      <c r="S6" s="205">
        <v>126</v>
      </c>
      <c r="T6" s="326">
        <v>0</v>
      </c>
      <c r="U6" s="205">
        <v>126</v>
      </c>
      <c r="V6" s="326">
        <v>0</v>
      </c>
      <c r="W6" s="205">
        <v>126</v>
      </c>
      <c r="X6" s="326">
        <v>0</v>
      </c>
      <c r="Y6" s="96">
        <v>126</v>
      </c>
      <c r="Z6" s="358">
        <v>0</v>
      </c>
      <c r="AA6" s="369">
        <v>126</v>
      </c>
      <c r="AB6" s="375">
        <v>0</v>
      </c>
      <c r="AC6" s="205">
        <v>126</v>
      </c>
      <c r="AD6" s="326">
        <v>0</v>
      </c>
    </row>
    <row r="7" spans="1:30" x14ac:dyDescent="0.35">
      <c r="A7" s="115" t="s">
        <v>761</v>
      </c>
      <c r="B7" s="115" t="s">
        <v>762</v>
      </c>
      <c r="C7" s="96">
        <v>9777658</v>
      </c>
      <c r="D7" s="228">
        <v>5.24</v>
      </c>
      <c r="E7" s="96">
        <v>9777658</v>
      </c>
      <c r="F7" s="228">
        <v>5.25</v>
      </c>
      <c r="G7" s="8">
        <v>0</v>
      </c>
      <c r="H7" s="9">
        <v>0</v>
      </c>
      <c r="I7" s="8">
        <v>0</v>
      </c>
      <c r="J7" s="9">
        <v>0</v>
      </c>
      <c r="K7" s="8">
        <v>0</v>
      </c>
      <c r="L7" s="9">
        <v>0</v>
      </c>
      <c r="M7" s="8">
        <v>0</v>
      </c>
      <c r="N7" s="9">
        <v>0</v>
      </c>
      <c r="O7" s="8">
        <v>0</v>
      </c>
      <c r="P7" s="9">
        <v>0</v>
      </c>
      <c r="Q7" s="8">
        <v>0</v>
      </c>
      <c r="R7" s="9">
        <v>0</v>
      </c>
      <c r="S7" s="8">
        <v>0</v>
      </c>
      <c r="T7" s="9">
        <v>0</v>
      </c>
      <c r="U7" s="8">
        <v>0</v>
      </c>
      <c r="V7" s="9">
        <v>0</v>
      </c>
      <c r="W7" s="8">
        <v>0</v>
      </c>
      <c r="X7" s="9">
        <v>0</v>
      </c>
      <c r="Y7" s="8">
        <v>0</v>
      </c>
      <c r="Z7" s="360">
        <v>0</v>
      </c>
      <c r="AA7" s="370">
        <v>0</v>
      </c>
      <c r="AB7" s="376">
        <v>0</v>
      </c>
      <c r="AC7" s="8" t="s">
        <v>1176</v>
      </c>
      <c r="AD7" s="9">
        <v>0</v>
      </c>
    </row>
    <row r="8" spans="1:30" x14ac:dyDescent="0.35">
      <c r="A8" s="115" t="s">
        <v>763</v>
      </c>
      <c r="B8" s="115" t="s">
        <v>764</v>
      </c>
      <c r="C8" s="96">
        <v>126</v>
      </c>
      <c r="D8" s="324">
        <v>0</v>
      </c>
      <c r="E8" s="96">
        <v>126</v>
      </c>
      <c r="F8" s="324">
        <v>0</v>
      </c>
      <c r="G8" s="96">
        <v>126</v>
      </c>
      <c r="H8" s="324">
        <v>0</v>
      </c>
      <c r="I8" s="96">
        <v>126</v>
      </c>
      <c r="J8" s="324">
        <v>0</v>
      </c>
      <c r="K8" s="96">
        <v>126</v>
      </c>
      <c r="L8" s="324">
        <v>0</v>
      </c>
      <c r="M8" s="96">
        <v>126</v>
      </c>
      <c r="N8" s="324">
        <v>0</v>
      </c>
      <c r="O8" s="96">
        <v>126</v>
      </c>
      <c r="P8" s="324">
        <v>0</v>
      </c>
      <c r="Q8" s="96">
        <v>126</v>
      </c>
      <c r="R8" s="324">
        <v>0</v>
      </c>
      <c r="S8" s="205">
        <v>126</v>
      </c>
      <c r="T8" s="326">
        <v>0</v>
      </c>
      <c r="U8" s="205">
        <v>126</v>
      </c>
      <c r="V8" s="324">
        <v>0</v>
      </c>
      <c r="W8" s="205">
        <v>126</v>
      </c>
      <c r="X8" s="326">
        <v>0</v>
      </c>
      <c r="Y8" s="96">
        <v>126</v>
      </c>
      <c r="Z8" s="358">
        <v>0</v>
      </c>
      <c r="AA8" s="369">
        <v>126</v>
      </c>
      <c r="AB8" s="375">
        <v>0</v>
      </c>
      <c r="AC8" s="205">
        <v>126</v>
      </c>
      <c r="AD8" s="324">
        <v>0</v>
      </c>
    </row>
    <row r="9" spans="1:30" x14ac:dyDescent="0.35">
      <c r="A9" s="105" t="s">
        <v>765</v>
      </c>
      <c r="B9" s="105" t="s">
        <v>766</v>
      </c>
      <c r="C9" s="96">
        <v>45774881</v>
      </c>
      <c r="D9" s="325">
        <v>24.56</v>
      </c>
      <c r="E9" s="96">
        <v>46982668</v>
      </c>
      <c r="F9" s="325">
        <v>25.21</v>
      </c>
      <c r="G9" s="96">
        <v>56328081</v>
      </c>
      <c r="H9" s="325">
        <v>30.22</v>
      </c>
      <c r="I9" s="96">
        <v>57190857</v>
      </c>
      <c r="J9" s="325">
        <v>30.68</v>
      </c>
      <c r="K9" s="96">
        <v>57669801</v>
      </c>
      <c r="L9" s="324">
        <v>30.94</v>
      </c>
      <c r="M9" s="96">
        <v>57207882</v>
      </c>
      <c r="N9" s="324">
        <v>30.69</v>
      </c>
      <c r="O9" s="96">
        <v>55529034</v>
      </c>
      <c r="P9" s="324">
        <v>29.79</v>
      </c>
      <c r="Q9" s="96">
        <v>54918917</v>
      </c>
      <c r="R9" s="325">
        <v>29.47</v>
      </c>
      <c r="S9" s="205">
        <v>55465861</v>
      </c>
      <c r="T9" s="326">
        <v>29.76</v>
      </c>
      <c r="U9" s="205">
        <v>54950643</v>
      </c>
      <c r="V9" s="324">
        <v>29.48</v>
      </c>
      <c r="W9" s="205">
        <v>54738454</v>
      </c>
      <c r="X9" s="326">
        <v>29.37</v>
      </c>
      <c r="Y9" s="96">
        <v>54883394</v>
      </c>
      <c r="Z9" s="361">
        <v>29.45</v>
      </c>
      <c r="AA9" s="369">
        <v>55361924</v>
      </c>
      <c r="AB9" s="377">
        <v>29.7</v>
      </c>
      <c r="AC9" s="205">
        <v>55806984</v>
      </c>
      <c r="AD9" s="324">
        <v>29.94</v>
      </c>
    </row>
    <row r="10" spans="1:30" x14ac:dyDescent="0.35">
      <c r="A10" s="115" t="s">
        <v>767</v>
      </c>
      <c r="B10" s="115" t="s">
        <v>768</v>
      </c>
      <c r="C10" s="96">
        <v>18637486</v>
      </c>
      <c r="D10" s="325">
        <v>10</v>
      </c>
      <c r="E10" s="96">
        <v>18637486</v>
      </c>
      <c r="F10" s="325">
        <v>10</v>
      </c>
      <c r="G10" s="96">
        <v>18637486</v>
      </c>
      <c r="H10" s="325">
        <v>10</v>
      </c>
      <c r="I10" s="96">
        <v>18637486</v>
      </c>
      <c r="J10" s="325">
        <v>10</v>
      </c>
      <c r="K10" s="96">
        <v>18637486</v>
      </c>
      <c r="L10" s="325">
        <v>10</v>
      </c>
      <c r="M10" s="96">
        <v>18637486</v>
      </c>
      <c r="N10" s="325">
        <v>10</v>
      </c>
      <c r="O10" s="96">
        <v>18637486</v>
      </c>
      <c r="P10" s="325">
        <v>10</v>
      </c>
      <c r="Q10" s="96">
        <v>18637486</v>
      </c>
      <c r="R10" s="325">
        <v>10</v>
      </c>
      <c r="S10" s="205">
        <v>18637486</v>
      </c>
      <c r="T10" s="326">
        <v>10</v>
      </c>
      <c r="U10" s="205">
        <v>18637486</v>
      </c>
      <c r="V10" s="324">
        <v>10</v>
      </c>
      <c r="W10" s="205">
        <v>18637486</v>
      </c>
      <c r="X10" s="326">
        <v>10</v>
      </c>
      <c r="Y10" s="96">
        <v>18637486</v>
      </c>
      <c r="Z10" s="361">
        <v>10</v>
      </c>
      <c r="AA10" s="369">
        <v>18637486</v>
      </c>
      <c r="AB10" s="377">
        <v>10</v>
      </c>
      <c r="AC10" s="205">
        <v>18637486</v>
      </c>
      <c r="AD10" s="324">
        <v>10</v>
      </c>
    </row>
    <row r="11" spans="1:30" x14ac:dyDescent="0.35">
      <c r="A11" s="115" t="s">
        <v>769</v>
      </c>
      <c r="B11" s="115" t="s">
        <v>770</v>
      </c>
      <c r="C11" s="8">
        <v>0</v>
      </c>
      <c r="D11" s="9">
        <v>0</v>
      </c>
      <c r="E11" s="8">
        <v>18637486</v>
      </c>
      <c r="F11" s="325">
        <v>10</v>
      </c>
      <c r="G11" s="96">
        <v>18637486</v>
      </c>
      <c r="H11" s="325">
        <v>10</v>
      </c>
      <c r="I11" s="96">
        <v>18637486</v>
      </c>
      <c r="J11" s="325">
        <v>10</v>
      </c>
      <c r="K11" s="96">
        <v>18637486</v>
      </c>
      <c r="L11" s="325">
        <v>10</v>
      </c>
      <c r="M11" s="96">
        <v>18637486</v>
      </c>
      <c r="N11" s="325">
        <v>10</v>
      </c>
      <c r="O11" s="96">
        <v>18637486</v>
      </c>
      <c r="P11" s="325">
        <v>10</v>
      </c>
      <c r="Q11" s="96">
        <v>18637486</v>
      </c>
      <c r="R11" s="325">
        <v>10</v>
      </c>
      <c r="S11" s="205">
        <v>18637486</v>
      </c>
      <c r="T11" s="326">
        <v>10</v>
      </c>
      <c r="U11" s="205">
        <v>18637486</v>
      </c>
      <c r="V11" s="324">
        <v>10</v>
      </c>
      <c r="W11" s="205">
        <v>18637486</v>
      </c>
      <c r="X11" s="326">
        <v>10</v>
      </c>
      <c r="Y11" s="96">
        <v>18637486</v>
      </c>
      <c r="Z11" s="361">
        <v>10</v>
      </c>
      <c r="AA11" s="369">
        <v>18637486</v>
      </c>
      <c r="AB11" s="377">
        <v>10</v>
      </c>
      <c r="AC11" s="205">
        <v>18637486</v>
      </c>
      <c r="AD11" s="324">
        <v>10</v>
      </c>
    </row>
    <row r="12" spans="1:30" x14ac:dyDescent="0.35">
      <c r="A12" s="115" t="s">
        <v>771</v>
      </c>
      <c r="B12" s="115" t="s">
        <v>772</v>
      </c>
      <c r="C12" s="8">
        <v>0</v>
      </c>
      <c r="D12" s="9">
        <v>0</v>
      </c>
      <c r="E12" s="8">
        <v>0</v>
      </c>
      <c r="F12" s="9">
        <v>0</v>
      </c>
      <c r="G12" s="96">
        <v>9777658</v>
      </c>
      <c r="H12" s="325">
        <v>5.25</v>
      </c>
      <c r="I12" s="96">
        <v>9777658</v>
      </c>
      <c r="J12" s="325">
        <v>5.25</v>
      </c>
      <c r="K12" s="96">
        <v>9777658</v>
      </c>
      <c r="L12" s="325">
        <v>5.25</v>
      </c>
      <c r="M12" s="96">
        <v>9777658</v>
      </c>
      <c r="N12" s="325">
        <v>5.25</v>
      </c>
      <c r="O12" s="96">
        <v>9777658</v>
      </c>
      <c r="P12" s="325">
        <v>5.25</v>
      </c>
      <c r="Q12" s="96">
        <v>9777658</v>
      </c>
      <c r="R12" s="325">
        <v>5.25</v>
      </c>
      <c r="S12" s="205">
        <v>9777658</v>
      </c>
      <c r="T12" s="326">
        <v>5.25</v>
      </c>
      <c r="U12" s="205">
        <v>9777658</v>
      </c>
      <c r="V12" s="324">
        <v>5.25</v>
      </c>
      <c r="W12" s="205">
        <v>9777658</v>
      </c>
      <c r="X12" s="326">
        <v>5.25</v>
      </c>
      <c r="Y12" s="96">
        <v>9777658</v>
      </c>
      <c r="Z12" s="359">
        <v>5.25</v>
      </c>
      <c r="AA12" s="369">
        <v>9777658</v>
      </c>
      <c r="AB12" s="378">
        <v>5.25</v>
      </c>
      <c r="AC12" s="205">
        <v>9777658</v>
      </c>
      <c r="AD12" s="324">
        <v>5.25</v>
      </c>
    </row>
    <row r="13" spans="1:30" x14ac:dyDescent="0.35">
      <c r="A13" s="115" t="s">
        <v>773</v>
      </c>
      <c r="B13" s="115" t="s">
        <v>774</v>
      </c>
      <c r="C13" s="96">
        <v>18637486</v>
      </c>
      <c r="D13" s="325">
        <v>10</v>
      </c>
      <c r="E13" s="8">
        <v>0</v>
      </c>
      <c r="F13" s="9">
        <v>0</v>
      </c>
      <c r="G13" s="8">
        <v>0</v>
      </c>
      <c r="H13" s="9">
        <v>0</v>
      </c>
      <c r="I13" s="8">
        <v>0</v>
      </c>
      <c r="J13" s="9">
        <v>0</v>
      </c>
      <c r="K13" s="8">
        <v>0</v>
      </c>
      <c r="L13" s="9">
        <v>0</v>
      </c>
      <c r="M13" s="8">
        <v>0</v>
      </c>
      <c r="N13" s="9">
        <v>0</v>
      </c>
      <c r="O13" s="8">
        <v>0</v>
      </c>
      <c r="P13" s="9">
        <v>0</v>
      </c>
      <c r="Q13" s="96">
        <v>0</v>
      </c>
      <c r="R13" s="9">
        <v>0</v>
      </c>
      <c r="S13" s="8">
        <v>0</v>
      </c>
      <c r="T13" s="9">
        <v>0</v>
      </c>
      <c r="U13" s="8">
        <v>0</v>
      </c>
      <c r="V13" s="9">
        <v>0</v>
      </c>
      <c r="W13" s="8">
        <v>0</v>
      </c>
      <c r="X13" s="9">
        <v>0</v>
      </c>
      <c r="Y13" s="8">
        <v>0</v>
      </c>
      <c r="Z13" s="359" t="s">
        <v>178</v>
      </c>
      <c r="AA13" s="370">
        <v>0</v>
      </c>
      <c r="AB13" s="378">
        <v>0</v>
      </c>
      <c r="AC13" s="8">
        <v>0</v>
      </c>
      <c r="AD13" s="9" t="s">
        <v>1176</v>
      </c>
    </row>
    <row r="14" spans="1:30" x14ac:dyDescent="0.35">
      <c r="A14" s="115" t="s">
        <v>775</v>
      </c>
      <c r="B14" s="115" t="s">
        <v>776</v>
      </c>
      <c r="C14" s="96">
        <v>8499909</v>
      </c>
      <c r="D14" s="325">
        <v>4.5599999999999996</v>
      </c>
      <c r="E14" s="8">
        <v>9707696</v>
      </c>
      <c r="F14" s="326">
        <v>5.21</v>
      </c>
      <c r="G14" s="8">
        <v>9275451</v>
      </c>
      <c r="H14" s="326">
        <v>4.97</v>
      </c>
      <c r="I14" s="8">
        <v>10138227</v>
      </c>
      <c r="J14" s="326">
        <v>5.43</v>
      </c>
      <c r="K14" s="8">
        <v>10617171</v>
      </c>
      <c r="L14" s="326">
        <v>5.69</v>
      </c>
      <c r="M14" s="8">
        <v>10155252</v>
      </c>
      <c r="N14" s="326">
        <v>5.44</v>
      </c>
      <c r="O14" s="8">
        <v>8476404</v>
      </c>
      <c r="P14" s="326">
        <v>4.54</v>
      </c>
      <c r="Q14" s="96">
        <v>7866287</v>
      </c>
      <c r="R14" s="325">
        <v>4.22</v>
      </c>
      <c r="S14" s="8">
        <v>8413231</v>
      </c>
      <c r="T14" s="326">
        <v>4.51</v>
      </c>
      <c r="U14" s="8">
        <v>7898013</v>
      </c>
      <c r="V14" s="326">
        <v>4.2300000000000004</v>
      </c>
      <c r="W14" s="8">
        <v>7685824</v>
      </c>
      <c r="X14" s="326">
        <v>4.12</v>
      </c>
      <c r="Y14" s="96">
        <v>7830764</v>
      </c>
      <c r="Z14" s="359">
        <f>Y14/186374860*100</f>
        <v>4.2016203258314988</v>
      </c>
      <c r="AA14" s="369">
        <f>AA9-AA10-AA11-AA12</f>
        <v>8309294</v>
      </c>
      <c r="AB14" s="378">
        <v>4.45</v>
      </c>
      <c r="AC14" s="369">
        <f>AC9-AC10-AC11-AC12</f>
        <v>8754354</v>
      </c>
      <c r="AD14" s="378">
        <f>AC14/186374860*100</f>
        <v>4.6971753593805516</v>
      </c>
    </row>
    <row r="15" spans="1:30" x14ac:dyDescent="0.35">
      <c r="A15" s="105" t="s">
        <v>777</v>
      </c>
      <c r="B15" s="102" t="s">
        <v>778</v>
      </c>
      <c r="C15" s="96">
        <v>5510245</v>
      </c>
      <c r="D15" s="325">
        <v>2.96</v>
      </c>
      <c r="E15" s="96">
        <v>6715310</v>
      </c>
      <c r="F15" s="325">
        <v>3.6</v>
      </c>
      <c r="G15" s="96">
        <v>6571286</v>
      </c>
      <c r="H15" s="325">
        <v>3.53</v>
      </c>
      <c r="I15" s="96">
        <v>7498478</v>
      </c>
      <c r="J15" s="325">
        <v>4.0199999999999996</v>
      </c>
      <c r="K15" s="96">
        <v>8462640</v>
      </c>
      <c r="L15" s="325">
        <v>4.54</v>
      </c>
      <c r="M15" s="96">
        <v>8640063</v>
      </c>
      <c r="N15" s="325">
        <v>4.6399999999999997</v>
      </c>
      <c r="O15" s="96">
        <v>7972057</v>
      </c>
      <c r="P15" s="325">
        <v>4.28</v>
      </c>
      <c r="Q15" s="96">
        <v>7359129</v>
      </c>
      <c r="R15" s="325">
        <v>3.95</v>
      </c>
      <c r="S15" s="205">
        <v>7985422</v>
      </c>
      <c r="T15" s="326">
        <v>4.28</v>
      </c>
      <c r="U15" s="205">
        <v>7606760</v>
      </c>
      <c r="V15" s="326">
        <v>4.08</v>
      </c>
      <c r="W15" s="205">
        <v>6423199</v>
      </c>
      <c r="X15" s="326">
        <v>3.45</v>
      </c>
      <c r="Y15" s="96">
        <v>6948335</v>
      </c>
      <c r="Z15" s="359">
        <f>Y15/186374860*100</f>
        <v>3.7281503524670656</v>
      </c>
      <c r="AA15" s="369">
        <v>7187141</v>
      </c>
      <c r="AB15" s="378">
        <f>AA15/186374860*100</f>
        <v>3.8562824406682314</v>
      </c>
      <c r="AC15" s="205">
        <v>8088824</v>
      </c>
      <c r="AD15" s="378">
        <f>AC15/186374860*100</f>
        <v>4.3400832065011343</v>
      </c>
    </row>
    <row r="16" spans="1:30" s="31" customFormat="1" x14ac:dyDescent="0.35">
      <c r="A16" s="200" t="s">
        <v>779</v>
      </c>
      <c r="B16" s="200" t="s">
        <v>780</v>
      </c>
      <c r="C16" s="203">
        <v>124563684</v>
      </c>
      <c r="D16" s="327">
        <v>66.83</v>
      </c>
      <c r="E16" s="203">
        <v>122141698</v>
      </c>
      <c r="F16" s="327">
        <v>65.53</v>
      </c>
      <c r="G16" s="203">
        <v>122719894</v>
      </c>
      <c r="H16" s="327">
        <v>65.84</v>
      </c>
      <c r="I16" s="203">
        <v>121139280</v>
      </c>
      <c r="J16" s="327">
        <v>65</v>
      </c>
      <c r="K16" s="203">
        <v>119686489</v>
      </c>
      <c r="L16" s="327">
        <v>64.22</v>
      </c>
      <c r="M16" s="203">
        <v>119872955</v>
      </c>
      <c r="N16" s="327">
        <v>64.319999999999993</v>
      </c>
      <c r="O16" s="203">
        <v>122309013</v>
      </c>
      <c r="P16" s="327">
        <v>65.62</v>
      </c>
      <c r="Q16" s="203">
        <v>123657438</v>
      </c>
      <c r="R16" s="327">
        <v>66.34</v>
      </c>
      <c r="S16" s="206">
        <v>122406072</v>
      </c>
      <c r="T16" s="329">
        <v>65.680000000000007</v>
      </c>
      <c r="U16" s="206">
        <v>122425833</v>
      </c>
      <c r="V16" s="329">
        <v>65.69</v>
      </c>
      <c r="W16" s="206">
        <v>122710171</v>
      </c>
      <c r="X16" s="329">
        <v>65.84</v>
      </c>
      <c r="Y16" s="203">
        <v>120929497</v>
      </c>
      <c r="Z16" s="362">
        <v>64.88</v>
      </c>
      <c r="AA16" s="371">
        <v>119458821</v>
      </c>
      <c r="AB16" s="379">
        <v>64.099999999999994</v>
      </c>
      <c r="AC16" s="206">
        <v>118128146</v>
      </c>
      <c r="AD16" s="329">
        <v>63.38</v>
      </c>
    </row>
    <row r="17" spans="1:30" x14ac:dyDescent="0.35">
      <c r="A17" s="105" t="s">
        <v>765</v>
      </c>
      <c r="B17" s="105" t="s">
        <v>766</v>
      </c>
      <c r="C17" s="96">
        <v>124330278</v>
      </c>
      <c r="D17" s="325">
        <v>66.709999999999994</v>
      </c>
      <c r="E17" s="96">
        <v>121346816</v>
      </c>
      <c r="F17" s="325">
        <v>65.11</v>
      </c>
      <c r="G17" s="96">
        <v>122465209</v>
      </c>
      <c r="H17" s="325">
        <v>65.709999999999994</v>
      </c>
      <c r="I17" s="96">
        <v>120901513</v>
      </c>
      <c r="J17" s="325">
        <v>64.87</v>
      </c>
      <c r="K17" s="96">
        <v>119477476</v>
      </c>
      <c r="L17" s="325">
        <v>64.11</v>
      </c>
      <c r="M17" s="96">
        <v>119065263</v>
      </c>
      <c r="N17" s="325">
        <v>63.89</v>
      </c>
      <c r="O17" s="96">
        <v>122089554</v>
      </c>
      <c r="P17" s="325">
        <v>65.5</v>
      </c>
      <c r="Q17" s="96">
        <v>123442704</v>
      </c>
      <c r="R17" s="325">
        <v>66.23</v>
      </c>
      <c r="S17" s="205">
        <v>122100354</v>
      </c>
      <c r="T17" s="326">
        <v>65.510000000000005</v>
      </c>
      <c r="U17" s="205">
        <v>122112493</v>
      </c>
      <c r="V17" s="326">
        <v>65.52</v>
      </c>
      <c r="W17" s="205">
        <v>122324643</v>
      </c>
      <c r="X17" s="326">
        <v>65.63</v>
      </c>
      <c r="Y17" s="96">
        <v>120585433</v>
      </c>
      <c r="Z17" s="361">
        <v>64.7</v>
      </c>
      <c r="AA17" s="369">
        <v>119106956</v>
      </c>
      <c r="AB17" s="377">
        <v>63.91</v>
      </c>
      <c r="AC17" s="205">
        <v>117724990</v>
      </c>
      <c r="AD17" s="326">
        <v>63.16</v>
      </c>
    </row>
    <row r="18" spans="1:30" x14ac:dyDescent="0.35">
      <c r="A18" s="115" t="s">
        <v>781</v>
      </c>
      <c r="B18" s="115" t="s">
        <v>782</v>
      </c>
      <c r="C18" s="96">
        <v>9457941</v>
      </c>
      <c r="D18" s="325">
        <v>5.07</v>
      </c>
      <c r="E18" s="96">
        <v>9457941</v>
      </c>
      <c r="F18" s="325">
        <v>5.07</v>
      </c>
      <c r="G18" s="96">
        <v>9457941</v>
      </c>
      <c r="H18" s="325">
        <v>5.07</v>
      </c>
      <c r="I18" s="96">
        <v>9457941</v>
      </c>
      <c r="J18" s="325">
        <v>5.07</v>
      </c>
      <c r="K18" s="96">
        <v>9457941</v>
      </c>
      <c r="L18" s="325">
        <v>5.07</v>
      </c>
      <c r="M18" s="96">
        <v>9457941</v>
      </c>
      <c r="N18" s="325">
        <v>5.07</v>
      </c>
      <c r="O18" s="96">
        <v>9457941</v>
      </c>
      <c r="P18" s="325">
        <v>5.07</v>
      </c>
      <c r="Q18" s="96">
        <v>9457941</v>
      </c>
      <c r="R18" s="325">
        <v>5.07</v>
      </c>
      <c r="S18" s="205">
        <v>9457941</v>
      </c>
      <c r="T18" s="326">
        <v>5.07</v>
      </c>
      <c r="U18" s="205">
        <v>9457941</v>
      </c>
      <c r="V18" s="326">
        <v>5.07</v>
      </c>
      <c r="W18" s="205">
        <v>9457941</v>
      </c>
      <c r="X18" s="326">
        <v>5.07</v>
      </c>
      <c r="Y18" s="96">
        <v>9457941</v>
      </c>
      <c r="Z18" s="361">
        <v>5.07</v>
      </c>
      <c r="AA18" s="369">
        <v>9457941</v>
      </c>
      <c r="AB18" s="377">
        <v>5.07</v>
      </c>
      <c r="AC18" s="205">
        <v>9457941</v>
      </c>
      <c r="AD18" s="326">
        <v>5.07</v>
      </c>
    </row>
    <row r="19" spans="1:30" x14ac:dyDescent="0.35">
      <c r="A19" s="105" t="s">
        <v>777</v>
      </c>
      <c r="B19" s="105" t="s">
        <v>778</v>
      </c>
      <c r="C19" s="96">
        <v>233406</v>
      </c>
      <c r="D19" s="325">
        <v>0.12</v>
      </c>
      <c r="E19" s="96">
        <v>794882</v>
      </c>
      <c r="F19" s="325">
        <v>0.42</v>
      </c>
      <c r="G19" s="96">
        <v>254685</v>
      </c>
      <c r="H19" s="325">
        <v>0.13</v>
      </c>
      <c r="I19" s="96">
        <v>237767</v>
      </c>
      <c r="J19" s="325">
        <v>0.13</v>
      </c>
      <c r="K19" s="96">
        <v>209013</v>
      </c>
      <c r="L19" s="325">
        <v>0.11</v>
      </c>
      <c r="M19" s="96">
        <v>807692</v>
      </c>
      <c r="N19" s="325">
        <v>0.43</v>
      </c>
      <c r="O19" s="96">
        <v>219459</v>
      </c>
      <c r="P19" s="325">
        <v>0.12</v>
      </c>
      <c r="Q19" s="96">
        <v>214734</v>
      </c>
      <c r="R19" s="325">
        <v>0.11</v>
      </c>
      <c r="S19" s="205">
        <v>305718</v>
      </c>
      <c r="T19" s="326">
        <v>0.17</v>
      </c>
      <c r="U19" s="205">
        <v>313340</v>
      </c>
      <c r="V19" s="326">
        <v>0.17</v>
      </c>
      <c r="W19" s="205">
        <v>385528</v>
      </c>
      <c r="X19" s="326">
        <v>0.21</v>
      </c>
      <c r="Y19" s="96">
        <v>344064</v>
      </c>
      <c r="Z19" s="361">
        <v>0.18</v>
      </c>
      <c r="AA19" s="369">
        <v>351865</v>
      </c>
      <c r="AB19" s="377">
        <v>0.19</v>
      </c>
      <c r="AC19" s="205">
        <v>403156</v>
      </c>
      <c r="AD19" s="326">
        <v>0.22</v>
      </c>
    </row>
    <row r="20" spans="1:30" s="31" customFormat="1" x14ac:dyDescent="0.35">
      <c r="A20" s="200" t="s">
        <v>783</v>
      </c>
      <c r="B20" s="200" t="s">
        <v>784</v>
      </c>
      <c r="C20" s="203">
        <v>737666</v>
      </c>
      <c r="D20" s="327">
        <v>0.4</v>
      </c>
      <c r="E20" s="203">
        <v>739653</v>
      </c>
      <c r="F20" s="327">
        <v>0.4</v>
      </c>
      <c r="G20" s="203">
        <v>744513</v>
      </c>
      <c r="H20" s="327">
        <v>0.4</v>
      </c>
      <c r="I20" s="203">
        <v>535279</v>
      </c>
      <c r="J20" s="327">
        <v>0.28999999999999998</v>
      </c>
      <c r="K20" s="203">
        <v>545204</v>
      </c>
      <c r="L20" s="327">
        <v>0.28999999999999998</v>
      </c>
      <c r="M20" s="203">
        <v>547287</v>
      </c>
      <c r="N20" s="327">
        <v>0.28999999999999998</v>
      </c>
      <c r="O20" s="203">
        <v>553790</v>
      </c>
      <c r="P20" s="327">
        <v>0.3</v>
      </c>
      <c r="Q20" s="203">
        <v>428650</v>
      </c>
      <c r="R20" s="327">
        <v>0.23</v>
      </c>
      <c r="S20" s="206">
        <v>508289</v>
      </c>
      <c r="T20" s="329">
        <v>0.27</v>
      </c>
      <c r="U20" s="206">
        <v>1380898</v>
      </c>
      <c r="V20" s="329">
        <v>0.74</v>
      </c>
      <c r="W20" s="206">
        <v>2492310</v>
      </c>
      <c r="X20" s="329">
        <v>1.33</v>
      </c>
      <c r="Y20" s="203">
        <v>3601971</v>
      </c>
      <c r="Z20" s="362">
        <v>1.93</v>
      </c>
      <c r="AA20" s="371">
        <v>4349248</v>
      </c>
      <c r="AB20" s="379">
        <v>2.33</v>
      </c>
      <c r="AC20" s="206">
        <v>4340180</v>
      </c>
      <c r="AD20" s="329">
        <v>2.33</v>
      </c>
    </row>
    <row r="21" spans="1:30" s="31" customFormat="1" x14ac:dyDescent="0.35">
      <c r="A21" s="200" t="s">
        <v>785</v>
      </c>
      <c r="B21" s="200" t="s">
        <v>786</v>
      </c>
      <c r="C21" s="203">
        <v>10600</v>
      </c>
      <c r="D21" s="327">
        <v>0.01</v>
      </c>
      <c r="E21" s="203">
        <v>17747</v>
      </c>
      <c r="F21" s="327">
        <v>0.01</v>
      </c>
      <c r="G21" s="203">
        <v>10960</v>
      </c>
      <c r="H21" s="327">
        <v>0.01</v>
      </c>
      <c r="I21" s="203">
        <v>10840</v>
      </c>
      <c r="J21" s="327">
        <v>0.01</v>
      </c>
      <c r="K21" s="203">
        <v>10600</v>
      </c>
      <c r="L21" s="327">
        <v>0.01</v>
      </c>
      <c r="M21" s="203">
        <v>106547</v>
      </c>
      <c r="N21" s="327">
        <v>0.06</v>
      </c>
      <c r="O21" s="203">
        <v>10840</v>
      </c>
      <c r="P21" s="327">
        <v>0.01</v>
      </c>
      <c r="Q21" s="203">
        <v>10600</v>
      </c>
      <c r="R21" s="327">
        <v>0.01</v>
      </c>
      <c r="S21" s="206">
        <v>9090</v>
      </c>
      <c r="T21" s="329">
        <v>0.01</v>
      </c>
      <c r="U21" s="206">
        <v>10600</v>
      </c>
      <c r="V21" s="329">
        <v>0.01</v>
      </c>
      <c r="W21" s="206">
        <v>10600</v>
      </c>
      <c r="X21" s="329">
        <v>0.01</v>
      </c>
      <c r="Y21" s="203">
        <v>11537</v>
      </c>
      <c r="Z21" s="362">
        <v>0.01</v>
      </c>
      <c r="AA21" s="371">
        <v>17600</v>
      </c>
      <c r="AB21" s="379">
        <v>0.01</v>
      </c>
      <c r="AC21" s="206">
        <v>10600</v>
      </c>
      <c r="AD21" s="329">
        <v>0.01</v>
      </c>
    </row>
    <row r="22" spans="1:30" s="31" customFormat="1" x14ac:dyDescent="0.35">
      <c r="A22" s="200" t="s">
        <v>317</v>
      </c>
      <c r="B22" s="200" t="s">
        <v>318</v>
      </c>
      <c r="C22" s="203">
        <v>186374860</v>
      </c>
      <c r="D22" s="327">
        <v>100</v>
      </c>
      <c r="E22" s="203">
        <v>186374860</v>
      </c>
      <c r="F22" s="327">
        <v>100</v>
      </c>
      <c r="G22" s="203">
        <v>186374860</v>
      </c>
      <c r="H22" s="327">
        <v>100</v>
      </c>
      <c r="I22" s="203">
        <v>186374860</v>
      </c>
      <c r="J22" s="327">
        <v>100</v>
      </c>
      <c r="K22" s="203">
        <v>186374860</v>
      </c>
      <c r="L22" s="327">
        <v>100</v>
      </c>
      <c r="M22" s="203">
        <v>186374860</v>
      </c>
      <c r="N22" s="327">
        <v>100</v>
      </c>
      <c r="O22" s="203">
        <v>186374860</v>
      </c>
      <c r="P22" s="327">
        <v>100</v>
      </c>
      <c r="Q22" s="203">
        <v>186374860</v>
      </c>
      <c r="R22" s="327">
        <v>100</v>
      </c>
      <c r="S22" s="206">
        <v>186374860</v>
      </c>
      <c r="T22" s="329">
        <v>100</v>
      </c>
      <c r="U22" s="206">
        <v>186374860</v>
      </c>
      <c r="V22" s="329">
        <v>100</v>
      </c>
      <c r="W22" s="206">
        <v>186374860</v>
      </c>
      <c r="X22" s="329">
        <v>100</v>
      </c>
      <c r="Y22" s="203">
        <v>186374860</v>
      </c>
      <c r="Z22" s="362">
        <v>100</v>
      </c>
      <c r="AA22" s="371">
        <v>186374860</v>
      </c>
      <c r="AB22" s="379">
        <v>100</v>
      </c>
      <c r="AC22" s="206">
        <v>186374860</v>
      </c>
      <c r="AD22" s="329">
        <v>100</v>
      </c>
    </row>
    <row r="24" spans="1:30" x14ac:dyDescent="0.35">
      <c r="A24" s="322" t="s">
        <v>787</v>
      </c>
      <c r="B24" s="322" t="s">
        <v>788</v>
      </c>
      <c r="C24" s="67"/>
      <c r="E24" s="20"/>
      <c r="F24" s="227"/>
      <c r="G24" s="20"/>
      <c r="O24" s="20"/>
    </row>
    <row r="25" spans="1:30" x14ac:dyDescent="0.35">
      <c r="A25" s="322" t="s">
        <v>789</v>
      </c>
      <c r="B25" s="322" t="s">
        <v>790</v>
      </c>
      <c r="C25" s="20"/>
      <c r="D25" s="227"/>
      <c r="G25" s="227"/>
    </row>
    <row r="26" spans="1:30" x14ac:dyDescent="0.35">
      <c r="C26" s="20"/>
    </row>
    <row r="27" spans="1:30" x14ac:dyDescent="0.35">
      <c r="C27" s="20"/>
    </row>
    <row r="28" spans="1:30" x14ac:dyDescent="0.35">
      <c r="D28" s="20"/>
      <c r="E28" s="20"/>
    </row>
    <row r="29" spans="1:30" x14ac:dyDescent="0.35">
      <c r="D29" s="20"/>
    </row>
    <row r="30" spans="1:30" x14ac:dyDescent="0.35">
      <c r="C30" s="20"/>
    </row>
    <row r="31" spans="1:30" x14ac:dyDescent="0.35">
      <c r="C31" s="20"/>
      <c r="D31" s="20"/>
      <c r="E31" s="20"/>
      <c r="F31" s="20"/>
    </row>
    <row r="32" spans="1:30" x14ac:dyDescent="0.35">
      <c r="D32" s="20"/>
    </row>
    <row r="33" spans="4:5" x14ac:dyDescent="0.35">
      <c r="D33" s="20"/>
    </row>
    <row r="34" spans="4:5" x14ac:dyDescent="0.35">
      <c r="D34" s="20"/>
      <c r="E34" s="20"/>
    </row>
    <row r="35" spans="4:5" x14ac:dyDescent="0.35">
      <c r="D35" s="20"/>
    </row>
    <row r="36" spans="4:5" x14ac:dyDescent="0.35">
      <c r="D36" s="20"/>
    </row>
  </sheetData>
  <mergeCells count="16">
    <mergeCell ref="AC2:AD2"/>
    <mergeCell ref="AA2:AB2"/>
    <mergeCell ref="A2:A4"/>
    <mergeCell ref="O2:P2"/>
    <mergeCell ref="Y2:Z2"/>
    <mergeCell ref="W2:X2"/>
    <mergeCell ref="U2:V2"/>
    <mergeCell ref="S2:T2"/>
    <mergeCell ref="Q2:R2"/>
    <mergeCell ref="B2:B4"/>
    <mergeCell ref="C2:D2"/>
    <mergeCell ref="E2:F2"/>
    <mergeCell ref="M2:N2"/>
    <mergeCell ref="K2:L2"/>
    <mergeCell ref="I2:J2"/>
    <mergeCell ref="G2:H2"/>
  </mergeCell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2992C-2E1F-475F-8DB9-FAE66A32AB89}">
  <sheetPr codeName="Munka12">
    <tabColor rgb="FF0070C0"/>
  </sheetPr>
  <dimension ref="A1:I27"/>
  <sheetViews>
    <sheetView zoomScale="86" zoomScaleNormal="86" workbookViewId="0">
      <selection sqref="A1:B1"/>
    </sheetView>
  </sheetViews>
  <sheetFormatPr defaultRowHeight="14.5" x14ac:dyDescent="0.35"/>
  <cols>
    <col min="1" max="1" width="18.81640625" customWidth="1"/>
    <col min="2" max="2" width="44.1796875" customWidth="1"/>
    <col min="3" max="3" width="63.54296875" customWidth="1"/>
    <col min="4" max="4" width="71.1796875" customWidth="1"/>
    <col min="5" max="8" width="13.1796875" customWidth="1"/>
    <col min="9" max="9" width="26.1796875" customWidth="1"/>
    <col min="10" max="10" width="6.81640625" customWidth="1"/>
  </cols>
  <sheetData>
    <row r="1" spans="1:9" ht="36.75" customHeight="1" thickBot="1" x14ac:dyDescent="0.4">
      <c r="A1" s="520"/>
      <c r="B1" s="520"/>
      <c r="C1" s="164"/>
      <c r="D1" s="164"/>
      <c r="E1" s="164"/>
      <c r="F1" s="164"/>
      <c r="G1" s="164"/>
      <c r="H1" s="164"/>
      <c r="I1" s="164"/>
    </row>
    <row r="2" spans="1:9" ht="21" customHeight="1" thickBot="1" x14ac:dyDescent="0.4">
      <c r="A2" s="521" t="s">
        <v>791</v>
      </c>
      <c r="B2" s="522"/>
      <c r="C2" s="523" t="s">
        <v>792</v>
      </c>
      <c r="D2" s="523" t="s">
        <v>793</v>
      </c>
      <c r="E2" s="525" t="s">
        <v>794</v>
      </c>
      <c r="F2" s="525"/>
      <c r="G2" s="525"/>
      <c r="H2" s="525"/>
      <c r="I2" s="518" t="s">
        <v>795</v>
      </c>
    </row>
    <row r="3" spans="1:9" ht="16" thickBot="1" x14ac:dyDescent="0.4">
      <c r="A3" s="209" t="s">
        <v>796</v>
      </c>
      <c r="B3" s="210" t="s">
        <v>797</v>
      </c>
      <c r="C3" s="524"/>
      <c r="D3" s="524"/>
      <c r="E3" s="211" t="s">
        <v>798</v>
      </c>
      <c r="F3" s="212" t="s">
        <v>799</v>
      </c>
      <c r="G3" s="212" t="s">
        <v>800</v>
      </c>
      <c r="H3" s="213" t="s">
        <v>717</v>
      </c>
      <c r="I3" s="519"/>
    </row>
    <row r="4" spans="1:9" ht="68.150000000000006" customHeight="1" x14ac:dyDescent="0.35">
      <c r="A4" s="41" t="s">
        <v>675</v>
      </c>
      <c r="B4" s="214" t="s">
        <v>801</v>
      </c>
      <c r="C4" s="46" t="s">
        <v>802</v>
      </c>
      <c r="D4" s="46" t="s">
        <v>803</v>
      </c>
      <c r="E4" s="42" t="s">
        <v>804</v>
      </c>
      <c r="F4" s="48" t="s">
        <v>804</v>
      </c>
      <c r="G4" s="48" t="s">
        <v>804</v>
      </c>
      <c r="H4" s="43"/>
      <c r="I4" s="44" t="s">
        <v>801</v>
      </c>
    </row>
    <row r="5" spans="1:9" ht="60.65" customHeight="1" x14ac:dyDescent="0.35">
      <c r="A5" s="45" t="s">
        <v>654</v>
      </c>
      <c r="B5" s="215" t="s">
        <v>805</v>
      </c>
      <c r="C5" s="46" t="s">
        <v>806</v>
      </c>
      <c r="D5" s="46" t="s">
        <v>807</v>
      </c>
      <c r="E5" s="47" t="s">
        <v>804</v>
      </c>
      <c r="F5" s="48"/>
      <c r="G5" s="49"/>
      <c r="H5" s="50"/>
      <c r="I5" s="51" t="s">
        <v>805</v>
      </c>
    </row>
    <row r="6" spans="1:9" ht="85.5" customHeight="1" x14ac:dyDescent="0.35">
      <c r="A6" s="45" t="s">
        <v>711</v>
      </c>
      <c r="B6" s="215" t="s">
        <v>808</v>
      </c>
      <c r="C6" s="46" t="s">
        <v>809</v>
      </c>
      <c r="D6" s="46" t="s">
        <v>810</v>
      </c>
      <c r="E6" s="47"/>
      <c r="F6" s="49"/>
      <c r="G6" s="48" t="s">
        <v>804</v>
      </c>
      <c r="H6" s="50" t="s">
        <v>804</v>
      </c>
      <c r="I6" s="51" t="s">
        <v>811</v>
      </c>
    </row>
    <row r="7" spans="1:9" ht="60.65" customHeight="1" x14ac:dyDescent="0.35">
      <c r="A7" s="45" t="s">
        <v>719</v>
      </c>
      <c r="B7" s="215" t="s">
        <v>718</v>
      </c>
      <c r="C7" s="46" t="s">
        <v>812</v>
      </c>
      <c r="D7" s="46" t="s">
        <v>813</v>
      </c>
      <c r="E7" s="47" t="s">
        <v>804</v>
      </c>
      <c r="F7" s="48" t="s">
        <v>804</v>
      </c>
      <c r="G7" s="49"/>
      <c r="H7" s="50"/>
      <c r="I7" s="51" t="s">
        <v>814</v>
      </c>
    </row>
    <row r="8" spans="1:9" ht="60.65" customHeight="1" x14ac:dyDescent="0.35">
      <c r="A8" s="52" t="s">
        <v>637</v>
      </c>
      <c r="B8" s="216" t="s">
        <v>637</v>
      </c>
      <c r="C8" s="46" t="s">
        <v>815</v>
      </c>
      <c r="D8" s="46" t="s">
        <v>816</v>
      </c>
      <c r="E8" s="48" t="s">
        <v>804</v>
      </c>
      <c r="F8" s="48" t="s">
        <v>804</v>
      </c>
      <c r="G8" s="62"/>
      <c r="H8" s="48" t="s">
        <v>804</v>
      </c>
      <c r="I8" s="51" t="s">
        <v>817</v>
      </c>
    </row>
    <row r="9" spans="1:9" ht="32.9" customHeight="1" thickBot="1" x14ac:dyDescent="0.4">
      <c r="A9" s="53" t="s">
        <v>818</v>
      </c>
      <c r="B9" s="217" t="s">
        <v>819</v>
      </c>
      <c r="C9" s="54"/>
      <c r="D9" s="54"/>
      <c r="E9" s="54"/>
      <c r="F9" s="54"/>
      <c r="G9" s="54"/>
      <c r="H9" s="54"/>
      <c r="I9" s="55"/>
    </row>
    <row r="10" spans="1:9" ht="16" thickBot="1" x14ac:dyDescent="0.4">
      <c r="A10" s="56"/>
      <c r="B10" s="218"/>
      <c r="C10" s="57"/>
      <c r="D10" s="57"/>
      <c r="E10" s="57"/>
      <c r="F10" s="57"/>
      <c r="G10" s="57"/>
      <c r="H10" s="57"/>
      <c r="I10" s="58"/>
    </row>
    <row r="11" spans="1:9" ht="31.5" thickBot="1" x14ac:dyDescent="0.4">
      <c r="A11" s="59" t="s">
        <v>820</v>
      </c>
      <c r="B11" s="219" t="s">
        <v>821</v>
      </c>
      <c r="C11" s="60"/>
      <c r="D11" s="60"/>
      <c r="E11" s="60"/>
      <c r="F11" s="60"/>
      <c r="G11" s="60"/>
      <c r="H11" s="60"/>
      <c r="I11" s="61" t="s">
        <v>822</v>
      </c>
    </row>
    <row r="17" spans="1:9" ht="15" thickBot="1" x14ac:dyDescent="0.4"/>
    <row r="18" spans="1:9" ht="21" customHeight="1" thickBot="1" x14ac:dyDescent="0.4">
      <c r="A18" s="521" t="s">
        <v>823</v>
      </c>
      <c r="B18" s="522"/>
      <c r="C18" s="523" t="s">
        <v>824</v>
      </c>
      <c r="D18" s="523" t="s">
        <v>825</v>
      </c>
      <c r="E18" s="525" t="s">
        <v>826</v>
      </c>
      <c r="F18" s="525"/>
      <c r="G18" s="525"/>
      <c r="H18" s="525"/>
      <c r="I18" s="518" t="s">
        <v>827</v>
      </c>
    </row>
    <row r="19" spans="1:9" ht="16" thickBot="1" x14ac:dyDescent="0.4">
      <c r="A19" s="209" t="s">
        <v>828</v>
      </c>
      <c r="B19" s="210" t="s">
        <v>829</v>
      </c>
      <c r="C19" s="524"/>
      <c r="D19" s="524"/>
      <c r="E19" s="211" t="s">
        <v>830</v>
      </c>
      <c r="F19" s="212" t="s">
        <v>831</v>
      </c>
      <c r="G19" s="212" t="s">
        <v>832</v>
      </c>
      <c r="H19" s="213" t="s">
        <v>717</v>
      </c>
      <c r="I19" s="519"/>
    </row>
    <row r="20" spans="1:9" ht="84.75" customHeight="1" x14ac:dyDescent="0.35">
      <c r="A20" s="41" t="s">
        <v>675</v>
      </c>
      <c r="B20" s="214" t="s">
        <v>676</v>
      </c>
      <c r="C20" s="46" t="s">
        <v>833</v>
      </c>
      <c r="D20" s="46" t="s">
        <v>834</v>
      </c>
      <c r="E20" s="42" t="s">
        <v>804</v>
      </c>
      <c r="F20" s="48" t="s">
        <v>804</v>
      </c>
      <c r="G20" s="48" t="s">
        <v>804</v>
      </c>
      <c r="H20" s="43"/>
      <c r="I20" s="44" t="s">
        <v>676</v>
      </c>
    </row>
    <row r="21" spans="1:9" ht="84.75" customHeight="1" x14ac:dyDescent="0.35">
      <c r="A21" s="45" t="s">
        <v>654</v>
      </c>
      <c r="B21" s="215" t="s">
        <v>655</v>
      </c>
      <c r="C21" s="46" t="s">
        <v>835</v>
      </c>
      <c r="D21" s="46" t="s">
        <v>836</v>
      </c>
      <c r="E21" s="47" t="s">
        <v>804</v>
      </c>
      <c r="F21" s="48"/>
      <c r="G21" s="49"/>
      <c r="H21" s="50"/>
      <c r="I21" s="51" t="s">
        <v>655</v>
      </c>
    </row>
    <row r="22" spans="1:9" ht="84.75" customHeight="1" x14ac:dyDescent="0.35">
      <c r="A22" s="45" t="s">
        <v>711</v>
      </c>
      <c r="B22" s="215" t="s">
        <v>712</v>
      </c>
      <c r="C22" s="46" t="s">
        <v>837</v>
      </c>
      <c r="D22" s="46" t="s">
        <v>838</v>
      </c>
      <c r="E22" s="47"/>
      <c r="F22" s="49"/>
      <c r="G22" s="48" t="s">
        <v>804</v>
      </c>
      <c r="H22" s="50" t="s">
        <v>804</v>
      </c>
      <c r="I22" s="51" t="s">
        <v>839</v>
      </c>
    </row>
    <row r="23" spans="1:9" ht="84.75" customHeight="1" x14ac:dyDescent="0.35">
      <c r="A23" s="45" t="s">
        <v>719</v>
      </c>
      <c r="B23" s="215" t="s">
        <v>718</v>
      </c>
      <c r="C23" s="46" t="s">
        <v>840</v>
      </c>
      <c r="D23" s="46" t="s">
        <v>841</v>
      </c>
      <c r="E23" s="47" t="s">
        <v>804</v>
      </c>
      <c r="F23" s="48" t="s">
        <v>804</v>
      </c>
      <c r="G23" s="49"/>
      <c r="H23" s="50"/>
      <c r="I23" s="51" t="s">
        <v>842</v>
      </c>
    </row>
    <row r="24" spans="1:9" ht="84.75" customHeight="1" x14ac:dyDescent="0.35">
      <c r="A24" s="52" t="s">
        <v>638</v>
      </c>
      <c r="B24" s="216" t="s">
        <v>638</v>
      </c>
      <c r="C24" s="46" t="s">
        <v>843</v>
      </c>
      <c r="D24" s="46" t="s">
        <v>816</v>
      </c>
      <c r="E24" s="48" t="s">
        <v>804</v>
      </c>
      <c r="F24" s="48" t="s">
        <v>804</v>
      </c>
      <c r="G24" s="62"/>
      <c r="H24" s="48" t="s">
        <v>804</v>
      </c>
      <c r="I24" s="51" t="s">
        <v>844</v>
      </c>
    </row>
    <row r="25" spans="1:9" ht="32.9" customHeight="1" thickBot="1" x14ac:dyDescent="0.4">
      <c r="A25" s="53" t="s">
        <v>845</v>
      </c>
      <c r="B25" s="217" t="s">
        <v>845</v>
      </c>
      <c r="C25" s="54"/>
      <c r="D25" s="54"/>
      <c r="E25" s="54"/>
      <c r="F25" s="54"/>
      <c r="G25" s="54"/>
      <c r="H25" s="54"/>
      <c r="I25" s="55"/>
    </row>
    <row r="26" spans="1:9" ht="16" thickBot="1" x14ac:dyDescent="0.4">
      <c r="A26" s="56"/>
      <c r="B26" s="218"/>
      <c r="C26" s="57"/>
      <c r="D26" s="57"/>
      <c r="E26" s="57"/>
      <c r="F26" s="57"/>
      <c r="G26" s="57"/>
      <c r="H26" s="57"/>
      <c r="I26" s="58"/>
    </row>
    <row r="27" spans="1:9" ht="31.5" thickBot="1" x14ac:dyDescent="0.4">
      <c r="A27" s="59" t="s">
        <v>846</v>
      </c>
      <c r="B27" s="219" t="s">
        <v>846</v>
      </c>
      <c r="C27" s="60"/>
      <c r="D27" s="60"/>
      <c r="E27" s="60"/>
      <c r="F27" s="60"/>
      <c r="G27" s="60"/>
      <c r="H27" s="60"/>
      <c r="I27" s="61" t="s">
        <v>847</v>
      </c>
    </row>
  </sheetData>
  <mergeCells count="11">
    <mergeCell ref="I18:I19"/>
    <mergeCell ref="A1:B1"/>
    <mergeCell ref="A18:B18"/>
    <mergeCell ref="C18:C19"/>
    <mergeCell ref="D18:D19"/>
    <mergeCell ref="E18:H18"/>
    <mergeCell ref="A2:B2"/>
    <mergeCell ref="C2:C3"/>
    <mergeCell ref="D2:D3"/>
    <mergeCell ref="E2:H2"/>
    <mergeCell ref="I2:I3"/>
  </mergeCells>
  <pageMargins left="0.7" right="0.7" top="0.75" bottom="0.75" header="0.3" footer="0.3"/>
  <pageSetup paperSize="9" orientation="portrait" r:id="rId1"/>
  <customProperties>
    <customPr name="EpmWorksheetKeyString_GU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F091-79CF-4747-B471-8E95418CBFC5}">
  <sheetPr codeName="Munka11">
    <tabColor rgb="FF0070C0"/>
  </sheetPr>
  <dimension ref="A1:AA19"/>
  <sheetViews>
    <sheetView zoomScale="86" zoomScaleNormal="86" workbookViewId="0">
      <pane xSplit="1" ySplit="2" topLeftCell="S3" activePane="bottomRight" state="frozen"/>
      <selection pane="topRight" activeCell="V46" sqref="V46"/>
      <selection pane="bottomLeft" activeCell="V46" sqref="V46"/>
      <selection pane="bottomRight" activeCell="Z22" sqref="Z22"/>
    </sheetView>
  </sheetViews>
  <sheetFormatPr defaultRowHeight="14.5" x14ac:dyDescent="0.35"/>
  <cols>
    <col min="1" max="1" width="47.54296875" customWidth="1"/>
    <col min="2" max="3" width="11.1796875" customWidth="1"/>
    <col min="4" max="4" width="13.81640625" bestFit="1" customWidth="1"/>
    <col min="5" max="7" width="11.1796875" customWidth="1"/>
    <col min="8" max="8" width="13" bestFit="1" customWidth="1"/>
    <col min="9" max="11" width="11.1796875" customWidth="1"/>
    <col min="12" max="12" width="13" bestFit="1" customWidth="1"/>
    <col min="13" max="15" width="11.1796875" customWidth="1"/>
    <col min="16" max="16" width="13" bestFit="1" customWidth="1"/>
    <col min="17" max="19" width="11.1796875" customWidth="1"/>
    <col min="20" max="20" width="13" bestFit="1" customWidth="1"/>
    <col min="21" max="23" width="11.1796875" customWidth="1"/>
    <col min="24" max="24" width="13" bestFit="1" customWidth="1"/>
    <col min="25" max="25" width="11.1796875" customWidth="1"/>
    <col min="26" max="26" width="9.54296875" bestFit="1" customWidth="1"/>
    <col min="27" max="27" width="11.1796875" customWidth="1"/>
  </cols>
  <sheetData>
    <row r="1" spans="1:27" ht="32.25" customHeight="1" thickBot="1" x14ac:dyDescent="0.4">
      <c r="A1" s="39"/>
    </row>
    <row r="2" spans="1:27" ht="20.149999999999999" customHeight="1" thickBot="1" x14ac:dyDescent="0.4">
      <c r="A2" s="1" t="s">
        <v>848</v>
      </c>
      <c r="B2" s="1" t="s">
        <v>37</v>
      </c>
      <c r="C2" s="1" t="s">
        <v>145</v>
      </c>
      <c r="D2" s="101" t="s">
        <v>146</v>
      </c>
      <c r="E2" s="1">
        <v>2018</v>
      </c>
      <c r="F2" s="1" t="s">
        <v>41</v>
      </c>
      <c r="G2" s="1" t="s">
        <v>147</v>
      </c>
      <c r="H2" s="1" t="s">
        <v>148</v>
      </c>
      <c r="I2" s="1">
        <v>2019</v>
      </c>
      <c r="J2" s="1" t="s">
        <v>45</v>
      </c>
      <c r="K2" s="1" t="s">
        <v>224</v>
      </c>
      <c r="L2" s="1" t="s">
        <v>225</v>
      </c>
      <c r="M2" s="1">
        <v>2020</v>
      </c>
      <c r="N2" s="1" t="s">
        <v>49</v>
      </c>
      <c r="O2" s="1" t="s">
        <v>153</v>
      </c>
      <c r="P2" s="1" t="s">
        <v>154</v>
      </c>
      <c r="Q2" s="1">
        <v>2021</v>
      </c>
      <c r="R2" s="1" t="s">
        <v>53</v>
      </c>
      <c r="S2" s="1" t="s">
        <v>155</v>
      </c>
      <c r="T2" s="1" t="s">
        <v>156</v>
      </c>
      <c r="U2" s="1">
        <v>2022</v>
      </c>
      <c r="V2" s="1" t="s">
        <v>57</v>
      </c>
      <c r="W2" s="1" t="s">
        <v>159</v>
      </c>
      <c r="X2" s="1" t="s">
        <v>160</v>
      </c>
      <c r="Y2" s="1">
        <v>2023</v>
      </c>
      <c r="Z2" s="1" t="s">
        <v>61</v>
      </c>
      <c r="AA2" s="1" t="s">
        <v>1167</v>
      </c>
    </row>
    <row r="3" spans="1:27" ht="15" thickTop="1" x14ac:dyDescent="0.35">
      <c r="A3" s="95" t="s">
        <v>849</v>
      </c>
      <c r="B3" s="220">
        <v>311.08</v>
      </c>
      <c r="C3" s="220">
        <v>314.36</v>
      </c>
      <c r="D3" s="220">
        <v>317.25</v>
      </c>
      <c r="E3" s="220">
        <v>318.61</v>
      </c>
      <c r="F3" s="220">
        <v>317.55</v>
      </c>
      <c r="G3" s="220">
        <v>320.38</v>
      </c>
      <c r="H3" s="220">
        <v>322.94</v>
      </c>
      <c r="I3" s="220">
        <v>325.36</v>
      </c>
      <c r="J3" s="220">
        <v>340.15</v>
      </c>
      <c r="K3" s="220">
        <v>345.67</v>
      </c>
      <c r="L3" s="220">
        <v>348.11</v>
      </c>
      <c r="M3" s="220">
        <v>350.98</v>
      </c>
      <c r="N3" s="220">
        <v>362.18</v>
      </c>
      <c r="O3" s="220">
        <v>357.71</v>
      </c>
      <c r="P3" s="220">
        <v>356.25</v>
      </c>
      <c r="Q3" s="220">
        <v>358.59</v>
      </c>
      <c r="R3" s="220">
        <v>366.8</v>
      </c>
      <c r="S3" s="220">
        <v>378.27</v>
      </c>
      <c r="T3" s="220">
        <v>387.39</v>
      </c>
      <c r="U3" s="220">
        <v>393.68</v>
      </c>
      <c r="V3" s="220">
        <v>388.61</v>
      </c>
      <c r="W3" s="220">
        <v>381.01</v>
      </c>
      <c r="X3" s="220">
        <v>381.88</v>
      </c>
      <c r="Y3" s="220">
        <v>381.98</v>
      </c>
      <c r="Z3" s="397">
        <v>388.58</v>
      </c>
      <c r="AA3" s="397">
        <v>390</v>
      </c>
    </row>
    <row r="4" spans="1:27" x14ac:dyDescent="0.35">
      <c r="A4" s="95" t="s">
        <v>850</v>
      </c>
      <c r="B4" s="220">
        <v>253.01</v>
      </c>
      <c r="C4" s="220">
        <v>259.89</v>
      </c>
      <c r="D4" s="220">
        <v>265.37</v>
      </c>
      <c r="E4" s="220">
        <v>269.45999999999998</v>
      </c>
      <c r="F4" s="220">
        <v>279.85000000000002</v>
      </c>
      <c r="G4" s="220">
        <v>283.62</v>
      </c>
      <c r="H4" s="220">
        <v>287.33999999999997</v>
      </c>
      <c r="I4" s="220">
        <v>290.62</v>
      </c>
      <c r="J4" s="220">
        <v>308.41000000000003</v>
      </c>
      <c r="K4" s="220">
        <v>312.79000000000002</v>
      </c>
      <c r="L4" s="220">
        <v>309.36</v>
      </c>
      <c r="M4" s="220">
        <v>307.26</v>
      </c>
      <c r="N4" s="220">
        <v>301.37</v>
      </c>
      <c r="O4" s="220">
        <v>297.19</v>
      </c>
      <c r="P4" s="220">
        <v>298.08</v>
      </c>
      <c r="Q4" s="220">
        <v>303.76</v>
      </c>
      <c r="R4" s="220">
        <v>327.95</v>
      </c>
      <c r="S4" s="220">
        <v>347.21</v>
      </c>
      <c r="T4" s="220">
        <v>365.83</v>
      </c>
      <c r="U4" s="220">
        <v>375.62</v>
      </c>
      <c r="V4" s="220">
        <v>362.12</v>
      </c>
      <c r="W4" s="220">
        <v>352.73</v>
      </c>
      <c r="X4" s="220">
        <v>352.76</v>
      </c>
      <c r="Y4" s="220">
        <v>353.36</v>
      </c>
      <c r="Z4" s="397">
        <v>358.04</v>
      </c>
      <c r="AA4" s="397">
        <v>360.8</v>
      </c>
    </row>
    <row r="5" spans="1:27" x14ac:dyDescent="0.35">
      <c r="A5" s="95" t="s">
        <v>851</v>
      </c>
      <c r="B5" s="220">
        <v>4.45</v>
      </c>
      <c r="C5" s="220">
        <v>4.38</v>
      </c>
      <c r="D5" s="220">
        <v>4.34</v>
      </c>
      <c r="E5" s="220">
        <v>4.32</v>
      </c>
      <c r="F5" s="220">
        <v>4.26</v>
      </c>
      <c r="G5" s="220">
        <v>4.3600000000000003</v>
      </c>
      <c r="H5" s="220">
        <v>4.41</v>
      </c>
      <c r="I5" s="220">
        <v>4.49</v>
      </c>
      <c r="J5" s="220">
        <v>4.57</v>
      </c>
      <c r="K5" s="220">
        <v>4.47</v>
      </c>
      <c r="L5" s="220">
        <v>4.37</v>
      </c>
      <c r="M5" s="220">
        <v>4.25</v>
      </c>
      <c r="N5" s="220">
        <v>4.01</v>
      </c>
      <c r="O5" s="220">
        <v>3.99</v>
      </c>
      <c r="P5" s="220">
        <v>4.0199999999999996</v>
      </c>
      <c r="Q5" s="220">
        <v>4.0999999999999996</v>
      </c>
      <c r="R5" s="220">
        <v>3.77</v>
      </c>
      <c r="S5" s="220">
        <v>4.71</v>
      </c>
      <c r="T5" s="220">
        <v>5.46</v>
      </c>
      <c r="U5" s="220">
        <v>5.76</v>
      </c>
      <c r="V5" s="220">
        <v>4.96</v>
      </c>
      <c r="W5" s="220">
        <v>4.62</v>
      </c>
      <c r="X5" s="220">
        <v>4.33</v>
      </c>
      <c r="Y5" s="220">
        <v>4.34</v>
      </c>
      <c r="Z5" s="397">
        <v>3.94</v>
      </c>
      <c r="AA5" s="397">
        <v>3.94</v>
      </c>
    </row>
    <row r="7" spans="1:27" x14ac:dyDescent="0.35">
      <c r="A7" s="95"/>
    </row>
    <row r="8" spans="1:27" ht="15" thickBot="1" x14ac:dyDescent="0.4"/>
    <row r="9" spans="1:27" ht="32.25" customHeight="1" thickBot="1" x14ac:dyDescent="0.4">
      <c r="A9" s="1" t="s">
        <v>852</v>
      </c>
      <c r="B9" s="64" t="s">
        <v>853</v>
      </c>
      <c r="C9" s="64" t="s">
        <v>80</v>
      </c>
      <c r="D9" s="64" t="s">
        <v>854</v>
      </c>
      <c r="E9" s="64" t="s">
        <v>82</v>
      </c>
      <c r="F9" s="64" t="s">
        <v>855</v>
      </c>
      <c r="G9" s="64" t="s">
        <v>84</v>
      </c>
      <c r="H9" s="64" t="s">
        <v>856</v>
      </c>
      <c r="I9" s="64" t="s">
        <v>86</v>
      </c>
      <c r="J9" s="64" t="s">
        <v>857</v>
      </c>
      <c r="K9" s="64" t="s">
        <v>88</v>
      </c>
      <c r="L9" s="64" t="s">
        <v>858</v>
      </c>
      <c r="M9" s="64" t="s">
        <v>90</v>
      </c>
      <c r="N9" s="64" t="s">
        <v>859</v>
      </c>
      <c r="O9" s="64" t="s">
        <v>92</v>
      </c>
      <c r="P9" s="64" t="s">
        <v>860</v>
      </c>
      <c r="Q9" s="64" t="s">
        <v>94</v>
      </c>
      <c r="R9" s="64" t="s">
        <v>861</v>
      </c>
      <c r="S9" s="64" t="s">
        <v>96</v>
      </c>
      <c r="T9" s="64" t="s">
        <v>862</v>
      </c>
      <c r="U9" s="64" t="s">
        <v>98</v>
      </c>
      <c r="V9" s="64" t="s">
        <v>863</v>
      </c>
      <c r="W9" s="64" t="s">
        <v>100</v>
      </c>
      <c r="X9" s="64" t="s">
        <v>101</v>
      </c>
      <c r="Y9" s="64" t="s">
        <v>102</v>
      </c>
      <c r="Z9" s="64" t="s">
        <v>1113</v>
      </c>
      <c r="AA9" s="64" t="s">
        <v>1165</v>
      </c>
    </row>
    <row r="10" spans="1:27" ht="15" thickTop="1" x14ac:dyDescent="0.35">
      <c r="A10" s="95" t="s">
        <v>849</v>
      </c>
      <c r="B10" s="220">
        <v>312.55</v>
      </c>
      <c r="C10" s="220">
        <v>328.6</v>
      </c>
      <c r="D10" s="220">
        <v>323.77999999999997</v>
      </c>
      <c r="E10" s="220">
        <v>321.51</v>
      </c>
      <c r="F10" s="220">
        <v>320.79000000000002</v>
      </c>
      <c r="G10" s="220">
        <v>323.54000000000002</v>
      </c>
      <c r="H10" s="220">
        <v>334.65</v>
      </c>
      <c r="I10" s="220">
        <v>330.52</v>
      </c>
      <c r="J10" s="220">
        <v>359.09</v>
      </c>
      <c r="K10" s="220">
        <v>356.57</v>
      </c>
      <c r="L10" s="220">
        <v>364.65</v>
      </c>
      <c r="M10" s="220">
        <v>365.13</v>
      </c>
      <c r="N10" s="220">
        <v>363.73</v>
      </c>
      <c r="O10" s="220">
        <v>351.9</v>
      </c>
      <c r="P10" s="220">
        <v>360.52</v>
      </c>
      <c r="Q10" s="220">
        <v>369</v>
      </c>
      <c r="R10" s="220">
        <v>369.62</v>
      </c>
      <c r="S10" s="220">
        <v>396.75</v>
      </c>
      <c r="T10" s="220">
        <v>421.41</v>
      </c>
      <c r="U10" s="220">
        <v>400.25</v>
      </c>
      <c r="V10" s="220">
        <v>380.99</v>
      </c>
      <c r="W10" s="220">
        <v>371.13</v>
      </c>
      <c r="X10" s="220">
        <v>391.25</v>
      </c>
      <c r="Y10" s="220">
        <v>382.78</v>
      </c>
      <c r="Z10" s="397">
        <v>395.83</v>
      </c>
      <c r="AA10" s="397">
        <v>395.15</v>
      </c>
    </row>
    <row r="11" spans="1:27" x14ac:dyDescent="0.35">
      <c r="A11" s="95" t="s">
        <v>850</v>
      </c>
      <c r="B11" s="220">
        <v>253.94</v>
      </c>
      <c r="C11" s="220">
        <v>282.06</v>
      </c>
      <c r="D11" s="220">
        <v>278.76</v>
      </c>
      <c r="E11" s="220">
        <v>280.94</v>
      </c>
      <c r="F11" s="220">
        <v>286.14</v>
      </c>
      <c r="G11" s="220">
        <v>284.08</v>
      </c>
      <c r="H11" s="220">
        <v>306.06</v>
      </c>
      <c r="I11" s="220">
        <v>294.74</v>
      </c>
      <c r="J11" s="220">
        <v>327.07</v>
      </c>
      <c r="K11" s="220">
        <v>317.83</v>
      </c>
      <c r="L11" s="220">
        <v>311.39999999999998</v>
      </c>
      <c r="M11" s="220">
        <v>297.36</v>
      </c>
      <c r="N11" s="220">
        <v>309.66000000000003</v>
      </c>
      <c r="O11" s="220">
        <v>296.04000000000002</v>
      </c>
      <c r="P11" s="220">
        <v>310.66000000000003</v>
      </c>
      <c r="Q11" s="220">
        <v>325.70999999999998</v>
      </c>
      <c r="R11" s="220">
        <v>332.09</v>
      </c>
      <c r="S11" s="220">
        <v>379.99</v>
      </c>
      <c r="T11" s="220">
        <v>428.57</v>
      </c>
      <c r="U11" s="220">
        <v>375.68</v>
      </c>
      <c r="V11" s="220">
        <v>349.85</v>
      </c>
      <c r="W11" s="220">
        <v>342.4</v>
      </c>
      <c r="X11" s="220">
        <v>368.76</v>
      </c>
      <c r="Y11" s="220">
        <v>346.44</v>
      </c>
      <c r="Z11" s="397">
        <v>367.33</v>
      </c>
      <c r="AA11" s="397">
        <v>369.4</v>
      </c>
    </row>
    <row r="12" spans="1:27" x14ac:dyDescent="0.35">
      <c r="A12" s="95" t="s">
        <v>851</v>
      </c>
      <c r="B12" s="220">
        <v>4.4000000000000004</v>
      </c>
      <c r="C12" s="220">
        <v>4.5</v>
      </c>
      <c r="D12" s="220">
        <v>4.25</v>
      </c>
      <c r="E12" s="220">
        <v>4.05</v>
      </c>
      <c r="F12" s="220">
        <v>4.42</v>
      </c>
      <c r="G12" s="220">
        <v>4.5</v>
      </c>
      <c r="H12" s="220">
        <v>4.7300000000000004</v>
      </c>
      <c r="I12" s="220">
        <v>4.74</v>
      </c>
      <c r="J12" s="220">
        <v>4.17</v>
      </c>
      <c r="K12" s="220">
        <v>4.5</v>
      </c>
      <c r="L12" s="220">
        <v>3.97</v>
      </c>
      <c r="M12" s="220">
        <v>3.96</v>
      </c>
      <c r="N12" s="220">
        <v>4.0999999999999996</v>
      </c>
      <c r="O12" s="220">
        <v>4.04</v>
      </c>
      <c r="P12" s="220">
        <v>4.2699999999999996</v>
      </c>
      <c r="Q12" s="220">
        <v>4.3499999999999996</v>
      </c>
      <c r="R12" s="220">
        <v>4.07</v>
      </c>
      <c r="S12" s="220">
        <v>7.23</v>
      </c>
      <c r="T12" s="220">
        <v>7.45</v>
      </c>
      <c r="U12" s="220">
        <v>5.15</v>
      </c>
      <c r="V12" s="220">
        <v>4.53</v>
      </c>
      <c r="W12" s="220">
        <v>3.9</v>
      </c>
      <c r="X12" s="220">
        <v>3.79</v>
      </c>
      <c r="Y12" s="220">
        <v>3.86</v>
      </c>
      <c r="Z12" s="397">
        <v>3.98</v>
      </c>
      <c r="AA12" s="397">
        <v>4.29</v>
      </c>
    </row>
    <row r="16" spans="1:27" ht="15" thickBot="1" x14ac:dyDescent="0.4"/>
    <row r="17" spans="1:27" ht="20.149999999999999" customHeight="1" thickBot="1" x14ac:dyDescent="0.4">
      <c r="A17" s="1" t="s">
        <v>848</v>
      </c>
      <c r="B17" s="1" t="s">
        <v>37</v>
      </c>
      <c r="C17" s="1" t="s">
        <v>38</v>
      </c>
      <c r="D17" s="1" t="s">
        <v>39</v>
      </c>
      <c r="E17" s="1" t="s">
        <v>40</v>
      </c>
      <c r="F17" s="1" t="s">
        <v>41</v>
      </c>
      <c r="G17" s="1" t="s">
        <v>42</v>
      </c>
      <c r="H17" s="1" t="s">
        <v>43</v>
      </c>
      <c r="I17" s="1" t="s">
        <v>44</v>
      </c>
      <c r="J17" s="1" t="s">
        <v>45</v>
      </c>
      <c r="K17" s="1" t="s">
        <v>46</v>
      </c>
      <c r="L17" s="1" t="s">
        <v>47</v>
      </c>
      <c r="M17" s="1" t="s">
        <v>48</v>
      </c>
      <c r="N17" s="1" t="s">
        <v>49</v>
      </c>
      <c r="O17" s="1" t="s">
        <v>50</v>
      </c>
      <c r="P17" s="1" t="s">
        <v>51</v>
      </c>
      <c r="Q17" s="1" t="s">
        <v>52</v>
      </c>
      <c r="R17" s="1" t="s">
        <v>53</v>
      </c>
      <c r="S17" s="1" t="s">
        <v>54</v>
      </c>
      <c r="T17" s="1" t="s">
        <v>55</v>
      </c>
      <c r="U17" s="1" t="s">
        <v>56</v>
      </c>
      <c r="V17" s="1" t="s">
        <v>57</v>
      </c>
      <c r="W17" s="1" t="s">
        <v>58</v>
      </c>
      <c r="X17" s="1" t="s">
        <v>59</v>
      </c>
      <c r="Y17" s="1" t="s">
        <v>60</v>
      </c>
      <c r="Z17" s="1" t="s">
        <v>61</v>
      </c>
      <c r="AA17" s="1" t="s">
        <v>1166</v>
      </c>
    </row>
    <row r="18" spans="1:27" ht="15" thickTop="1" x14ac:dyDescent="0.35">
      <c r="A18" s="95" t="s">
        <v>849</v>
      </c>
      <c r="B18" s="220">
        <v>311.08</v>
      </c>
      <c r="C18" s="220">
        <v>316.31</v>
      </c>
      <c r="D18" s="220">
        <v>332.49</v>
      </c>
      <c r="E18" s="220">
        <v>315.14999999999998</v>
      </c>
      <c r="F18" s="220">
        <v>317.55</v>
      </c>
      <c r="G18" s="220">
        <v>324.36</v>
      </c>
      <c r="H18" s="220">
        <v>327.67</v>
      </c>
      <c r="I18" s="220">
        <v>315.20999999999998</v>
      </c>
      <c r="J18" s="220">
        <v>340.15</v>
      </c>
      <c r="K18" s="220">
        <v>350.99</v>
      </c>
      <c r="L18" s="220">
        <v>354.51</v>
      </c>
      <c r="M18" s="220">
        <v>362.47</v>
      </c>
      <c r="N18" s="220">
        <v>362.18</v>
      </c>
      <c r="O18" s="220">
        <v>353.66</v>
      </c>
      <c r="P18" s="220">
        <v>354.07</v>
      </c>
      <c r="Q18" s="220">
        <v>363.39</v>
      </c>
      <c r="R18" s="220">
        <v>366.8</v>
      </c>
      <c r="S18" s="220">
        <v>384</v>
      </c>
      <c r="T18" s="220">
        <v>401.02</v>
      </c>
      <c r="U18" s="220">
        <v>351.09</v>
      </c>
      <c r="V18" s="220">
        <v>388.61</v>
      </c>
      <c r="W18" s="220">
        <v>371.86</v>
      </c>
      <c r="X18" s="220">
        <v>382.81</v>
      </c>
      <c r="Y18" s="220">
        <v>382.4</v>
      </c>
      <c r="Z18" s="397">
        <v>388.58</v>
      </c>
      <c r="AA18" s="397">
        <v>391.48</v>
      </c>
    </row>
    <row r="19" spans="1:27" x14ac:dyDescent="0.35">
      <c r="A19" s="95" t="s">
        <v>850</v>
      </c>
      <c r="B19" s="220">
        <v>253.01</v>
      </c>
      <c r="C19" s="220">
        <v>263.08999999999997</v>
      </c>
      <c r="D19" s="220">
        <v>294.70999999999998</v>
      </c>
      <c r="E19" s="220">
        <v>253.61</v>
      </c>
      <c r="F19" s="220">
        <v>279.85000000000002</v>
      </c>
      <c r="G19" s="220">
        <v>288.38</v>
      </c>
      <c r="H19" s="220">
        <v>294.20999999999998</v>
      </c>
      <c r="I19" s="220">
        <v>276.20999999999998</v>
      </c>
      <c r="J19" s="220">
        <v>308.41000000000003</v>
      </c>
      <c r="K19" s="220">
        <v>316.79000000000002</v>
      </c>
      <c r="L19" s="220">
        <v>300.76</v>
      </c>
      <c r="M19" s="220">
        <v>299.14999999999998</v>
      </c>
      <c r="N19" s="220">
        <v>301.37</v>
      </c>
      <c r="O19" s="220">
        <v>293.27</v>
      </c>
      <c r="P19" s="220">
        <v>299.27999999999997</v>
      </c>
      <c r="Q19" s="220">
        <v>315.83</v>
      </c>
      <c r="R19" s="220">
        <v>327.95</v>
      </c>
      <c r="S19" s="220">
        <v>357.49</v>
      </c>
      <c r="T19" s="220">
        <v>395.61</v>
      </c>
      <c r="U19" s="220">
        <v>313.32</v>
      </c>
      <c r="V19" s="220">
        <v>362.12</v>
      </c>
      <c r="W19" s="220">
        <v>341.01</v>
      </c>
      <c r="X19" s="220">
        <v>352.7</v>
      </c>
      <c r="Y19" s="220">
        <v>355.51</v>
      </c>
      <c r="Z19" s="397">
        <v>358.04</v>
      </c>
      <c r="AA19" s="397">
        <v>363.53</v>
      </c>
    </row>
  </sheetData>
  <pageMargins left="0.70866141732283472" right="0.70866141732283472" top="0" bottom="0" header="0.31496062992125984" footer="0.31496062992125984"/>
  <pageSetup paperSize="9" orientation="landscape" r:id="rId1"/>
  <customProperties>
    <customPr name="EpmWorksheetKeyString_GU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2500-14A8-48AE-9CF0-1FD34C4DD059}">
  <sheetPr codeName="Munka10">
    <tabColor rgb="FF0070C0"/>
  </sheetPr>
  <dimension ref="A1:M117"/>
  <sheetViews>
    <sheetView zoomScale="86" zoomScaleNormal="86" workbookViewId="0">
      <selection activeCell="D7" sqref="D7"/>
    </sheetView>
  </sheetViews>
  <sheetFormatPr defaultRowHeight="14.5" x14ac:dyDescent="0.35"/>
  <cols>
    <col min="1" max="1" width="32.1796875" customWidth="1"/>
    <col min="2" max="2" width="36.1796875" customWidth="1"/>
    <col min="3" max="3" width="19" customWidth="1"/>
    <col min="4" max="4" width="36.1796875" customWidth="1"/>
    <col min="5" max="5" width="19" customWidth="1"/>
    <col min="6" max="6" width="9.1796875" customWidth="1"/>
    <col min="7" max="7" width="1.54296875" style="269" customWidth="1"/>
    <col min="8" max="8" width="9.1796875" customWidth="1"/>
    <col min="9" max="9" width="35.453125" bestFit="1" customWidth="1"/>
    <col min="10" max="10" width="36.1796875" bestFit="1" customWidth="1"/>
    <col min="11" max="11" width="19" customWidth="1"/>
    <col min="12" max="12" width="36.1796875" bestFit="1" customWidth="1"/>
    <col min="13" max="13" width="19" customWidth="1"/>
  </cols>
  <sheetData>
    <row r="1" spans="1:13" ht="30.75" customHeight="1" x14ac:dyDescent="0.35">
      <c r="A1" s="39"/>
      <c r="I1" s="39"/>
    </row>
    <row r="2" spans="1:13" ht="30.75" customHeight="1" thickBot="1" x14ac:dyDescent="0.4">
      <c r="A2" s="526" t="s">
        <v>864</v>
      </c>
      <c r="B2" s="526"/>
      <c r="C2" s="526"/>
      <c r="D2" s="526"/>
      <c r="E2" s="526"/>
      <c r="I2" s="526" t="s">
        <v>865</v>
      </c>
      <c r="J2" s="526"/>
      <c r="K2" s="526"/>
      <c r="L2" s="526"/>
      <c r="M2" s="526"/>
    </row>
    <row r="3" spans="1:13" ht="32.25" customHeight="1" thickBot="1" x14ac:dyDescent="0.4">
      <c r="A3" s="32" t="s">
        <v>866</v>
      </c>
      <c r="B3" s="32" t="s">
        <v>867</v>
      </c>
      <c r="C3" s="1" t="s">
        <v>868</v>
      </c>
      <c r="D3" s="1" t="s">
        <v>869</v>
      </c>
      <c r="E3" s="1" t="s">
        <v>870</v>
      </c>
      <c r="I3" s="32" t="s">
        <v>871</v>
      </c>
      <c r="J3" s="32" t="s">
        <v>872</v>
      </c>
      <c r="K3" s="1" t="s">
        <v>873</v>
      </c>
      <c r="L3" s="32" t="s">
        <v>874</v>
      </c>
      <c r="M3" s="1" t="s">
        <v>873</v>
      </c>
    </row>
    <row r="4" spans="1:13" ht="15.75" customHeight="1" thickTop="1" x14ac:dyDescent="0.35">
      <c r="A4" s="38" t="s">
        <v>690</v>
      </c>
      <c r="B4" s="38" t="s">
        <v>875</v>
      </c>
      <c r="C4" s="38" t="s">
        <v>876</v>
      </c>
      <c r="D4" s="38" t="s">
        <v>690</v>
      </c>
      <c r="E4" s="38" t="s">
        <v>690</v>
      </c>
      <c r="I4" s="38" t="s">
        <v>691</v>
      </c>
      <c r="J4" s="38" t="s">
        <v>877</v>
      </c>
      <c r="K4" s="38" t="s">
        <v>878</v>
      </c>
      <c r="L4" s="38" t="s">
        <v>691</v>
      </c>
      <c r="M4" s="38" t="s">
        <v>691</v>
      </c>
    </row>
    <row r="5" spans="1:13" ht="15" customHeight="1" x14ac:dyDescent="0.35">
      <c r="A5" s="38" t="s">
        <v>728</v>
      </c>
      <c r="B5" s="38" t="s">
        <v>875</v>
      </c>
      <c r="C5" s="38" t="s">
        <v>876</v>
      </c>
      <c r="D5" s="38" t="s">
        <v>728</v>
      </c>
      <c r="E5" s="38" t="s">
        <v>728</v>
      </c>
      <c r="I5" s="38" t="s">
        <v>729</v>
      </c>
      <c r="J5" s="38" t="s">
        <v>877</v>
      </c>
      <c r="K5" s="38" t="s">
        <v>878</v>
      </c>
      <c r="L5" s="38" t="s">
        <v>729</v>
      </c>
      <c r="M5" s="38" t="s">
        <v>729</v>
      </c>
    </row>
    <row r="6" spans="1:13" ht="15" customHeight="1" x14ac:dyDescent="0.35">
      <c r="A6" s="38" t="s">
        <v>879</v>
      </c>
      <c r="B6" s="38" t="s">
        <v>875</v>
      </c>
      <c r="C6" s="38" t="s">
        <v>876</v>
      </c>
      <c r="D6" s="38" t="s">
        <v>880</v>
      </c>
      <c r="E6" s="38" t="s">
        <v>881</v>
      </c>
      <c r="I6" s="38" t="s">
        <v>882</v>
      </c>
      <c r="J6" s="38" t="s">
        <v>877</v>
      </c>
      <c r="K6" s="38" t="s">
        <v>878</v>
      </c>
      <c r="L6" s="38" t="s">
        <v>883</v>
      </c>
      <c r="M6" s="38" t="s">
        <v>884</v>
      </c>
    </row>
    <row r="7" spans="1:13" ht="15" customHeight="1" x14ac:dyDescent="0.35">
      <c r="A7" s="38" t="s">
        <v>885</v>
      </c>
      <c r="B7" s="38" t="s">
        <v>875</v>
      </c>
      <c r="C7" s="38" t="s">
        <v>876</v>
      </c>
      <c r="D7" s="38" t="s">
        <v>880</v>
      </c>
      <c r="E7" s="38" t="s">
        <v>881</v>
      </c>
      <c r="I7" s="38" t="s">
        <v>886</v>
      </c>
      <c r="J7" s="38" t="s">
        <v>877</v>
      </c>
      <c r="K7" s="38" t="s">
        <v>878</v>
      </c>
      <c r="L7" s="38" t="s">
        <v>883</v>
      </c>
      <c r="M7" s="38" t="s">
        <v>884</v>
      </c>
    </row>
    <row r="8" spans="1:13" ht="15" customHeight="1" x14ac:dyDescent="0.35">
      <c r="A8" s="38" t="s">
        <v>887</v>
      </c>
      <c r="B8" s="38" t="s">
        <v>875</v>
      </c>
      <c r="C8" s="38" t="s">
        <v>876</v>
      </c>
      <c r="D8" s="38" t="s">
        <v>880</v>
      </c>
      <c r="E8" s="38" t="s">
        <v>881</v>
      </c>
      <c r="I8" s="38" t="s">
        <v>888</v>
      </c>
      <c r="J8" s="38" t="s">
        <v>877</v>
      </c>
      <c r="K8" s="38" t="s">
        <v>878</v>
      </c>
      <c r="L8" s="38" t="s">
        <v>883</v>
      </c>
      <c r="M8" s="38" t="s">
        <v>884</v>
      </c>
    </row>
    <row r="9" spans="1:13" x14ac:dyDescent="0.35">
      <c r="A9" s="38" t="s">
        <v>889</v>
      </c>
      <c r="B9" s="38" t="s">
        <v>875</v>
      </c>
      <c r="C9" s="38" t="s">
        <v>876</v>
      </c>
      <c r="D9" s="38" t="s">
        <v>880</v>
      </c>
      <c r="E9" s="38" t="s">
        <v>881</v>
      </c>
      <c r="I9" s="38" t="s">
        <v>890</v>
      </c>
      <c r="J9" s="38" t="s">
        <v>877</v>
      </c>
      <c r="K9" s="38" t="s">
        <v>878</v>
      </c>
      <c r="L9" s="38" t="s">
        <v>883</v>
      </c>
      <c r="M9" s="38" t="s">
        <v>884</v>
      </c>
    </row>
    <row r="10" spans="1:13" x14ac:dyDescent="0.35">
      <c r="A10" s="38" t="s">
        <v>891</v>
      </c>
      <c r="B10" s="38" t="s">
        <v>875</v>
      </c>
      <c r="C10" s="38" t="s">
        <v>876</v>
      </c>
      <c r="D10" s="38" t="s">
        <v>880</v>
      </c>
      <c r="E10" s="38" t="s">
        <v>881</v>
      </c>
      <c r="I10" s="38" t="s">
        <v>892</v>
      </c>
      <c r="J10" s="38" t="s">
        <v>877</v>
      </c>
      <c r="K10" s="38" t="s">
        <v>878</v>
      </c>
      <c r="L10" s="38" t="s">
        <v>883</v>
      </c>
      <c r="M10" s="38" t="s">
        <v>884</v>
      </c>
    </row>
    <row r="11" spans="1:13" x14ac:dyDescent="0.35">
      <c r="A11" s="38" t="s">
        <v>726</v>
      </c>
      <c r="B11" s="38" t="s">
        <v>875</v>
      </c>
      <c r="C11" s="38" t="s">
        <v>876</v>
      </c>
      <c r="D11" s="38" t="s">
        <v>880</v>
      </c>
      <c r="E11" s="38" t="s">
        <v>881</v>
      </c>
      <c r="I11" s="38" t="s">
        <v>727</v>
      </c>
      <c r="J11" s="38" t="s">
        <v>877</v>
      </c>
      <c r="K11" s="38" t="s">
        <v>878</v>
      </c>
      <c r="L11" s="38" t="s">
        <v>883</v>
      </c>
      <c r="M11" s="38" t="s">
        <v>884</v>
      </c>
    </row>
    <row r="12" spans="1:13" x14ac:dyDescent="0.35">
      <c r="A12" s="38" t="s">
        <v>893</v>
      </c>
      <c r="B12" s="38" t="s">
        <v>875</v>
      </c>
      <c r="C12" s="38" t="s">
        <v>876</v>
      </c>
      <c r="D12" s="38" t="s">
        <v>880</v>
      </c>
      <c r="E12" s="38" t="s">
        <v>881</v>
      </c>
      <c r="I12" s="38" t="s">
        <v>894</v>
      </c>
      <c r="J12" s="38" t="s">
        <v>877</v>
      </c>
      <c r="K12" s="38" t="s">
        <v>878</v>
      </c>
      <c r="L12" s="38" t="s">
        <v>883</v>
      </c>
      <c r="M12" s="38" t="s">
        <v>884</v>
      </c>
    </row>
    <row r="13" spans="1:13" x14ac:dyDescent="0.35">
      <c r="A13" s="38" t="s">
        <v>895</v>
      </c>
      <c r="B13" s="38" t="s">
        <v>875</v>
      </c>
      <c r="C13" s="38" t="s">
        <v>876</v>
      </c>
      <c r="D13" s="38" t="s">
        <v>880</v>
      </c>
      <c r="E13" s="38" t="s">
        <v>881</v>
      </c>
      <c r="I13" s="38" t="s">
        <v>896</v>
      </c>
      <c r="J13" s="38" t="s">
        <v>877</v>
      </c>
      <c r="K13" s="38" t="s">
        <v>878</v>
      </c>
      <c r="L13" s="38" t="s">
        <v>883</v>
      </c>
      <c r="M13" s="38" t="s">
        <v>884</v>
      </c>
    </row>
    <row r="14" spans="1:13" x14ac:dyDescent="0.35">
      <c r="A14" s="38" t="s">
        <v>897</v>
      </c>
      <c r="B14" s="38" t="s">
        <v>875</v>
      </c>
      <c r="C14" s="38" t="s">
        <v>876</v>
      </c>
      <c r="D14" s="38" t="s">
        <v>880</v>
      </c>
      <c r="E14" s="38" t="s">
        <v>881</v>
      </c>
      <c r="I14" s="38" t="s">
        <v>898</v>
      </c>
      <c r="J14" s="38" t="s">
        <v>877</v>
      </c>
      <c r="K14" s="38" t="s">
        <v>878</v>
      </c>
      <c r="L14" s="38" t="s">
        <v>883</v>
      </c>
      <c r="M14" s="38" t="s">
        <v>884</v>
      </c>
    </row>
    <row r="15" spans="1:13" x14ac:dyDescent="0.35">
      <c r="A15" s="38" t="s">
        <v>730</v>
      </c>
      <c r="B15" s="38" t="s">
        <v>875</v>
      </c>
      <c r="C15" s="38" t="s">
        <v>876</v>
      </c>
      <c r="D15" s="38" t="s">
        <v>880</v>
      </c>
      <c r="E15" s="38" t="s">
        <v>881</v>
      </c>
      <c r="I15" s="38" t="s">
        <v>731</v>
      </c>
      <c r="J15" s="38" t="s">
        <v>877</v>
      </c>
      <c r="K15" s="38" t="s">
        <v>878</v>
      </c>
      <c r="L15" s="38" t="s">
        <v>883</v>
      </c>
      <c r="M15" s="38" t="s">
        <v>884</v>
      </c>
    </row>
    <row r="16" spans="1:13" x14ac:dyDescent="0.35">
      <c r="A16" s="38" t="s">
        <v>722</v>
      </c>
      <c r="B16" s="38" t="s">
        <v>899</v>
      </c>
      <c r="C16" s="38" t="s">
        <v>900</v>
      </c>
      <c r="D16" s="38" t="s">
        <v>722</v>
      </c>
      <c r="E16" s="38" t="s">
        <v>722</v>
      </c>
      <c r="I16" s="38" t="s">
        <v>723</v>
      </c>
      <c r="J16" s="38" t="s">
        <v>901</v>
      </c>
      <c r="K16" s="38" t="s">
        <v>902</v>
      </c>
      <c r="L16" s="38" t="s">
        <v>723</v>
      </c>
      <c r="M16" s="38" t="s">
        <v>723</v>
      </c>
    </row>
    <row r="17" spans="1:13" x14ac:dyDescent="0.35">
      <c r="A17" s="38" t="s">
        <v>688</v>
      </c>
      <c r="B17" s="38" t="s">
        <v>899</v>
      </c>
      <c r="C17" s="38" t="s">
        <v>900</v>
      </c>
      <c r="D17" s="38" t="s">
        <v>903</v>
      </c>
      <c r="E17" s="38" t="s">
        <v>904</v>
      </c>
      <c r="I17" s="38" t="s">
        <v>689</v>
      </c>
      <c r="J17" s="38" t="s">
        <v>901</v>
      </c>
      <c r="K17" s="38" t="s">
        <v>902</v>
      </c>
      <c r="L17" s="38" t="s">
        <v>905</v>
      </c>
      <c r="M17" s="38" t="s">
        <v>906</v>
      </c>
    </row>
    <row r="18" spans="1:13" x14ac:dyDescent="0.35">
      <c r="A18" s="38" t="s">
        <v>724</v>
      </c>
      <c r="B18" s="38" t="s">
        <v>899</v>
      </c>
      <c r="C18" s="38" t="s">
        <v>900</v>
      </c>
      <c r="D18" s="38" t="s">
        <v>903</v>
      </c>
      <c r="E18" s="38" t="s">
        <v>904</v>
      </c>
      <c r="I18" s="38" t="s">
        <v>725</v>
      </c>
      <c r="J18" s="38" t="s">
        <v>901</v>
      </c>
      <c r="K18" s="38" t="s">
        <v>902</v>
      </c>
      <c r="L18" s="38" t="s">
        <v>905</v>
      </c>
      <c r="M18" s="38" t="s">
        <v>906</v>
      </c>
    </row>
    <row r="19" spans="1:13" x14ac:dyDescent="0.35">
      <c r="A19" s="38" t="s">
        <v>907</v>
      </c>
      <c r="B19" s="38" t="s">
        <v>899</v>
      </c>
      <c r="C19" s="38" t="s">
        <v>900</v>
      </c>
      <c r="D19" s="38" t="s">
        <v>903</v>
      </c>
      <c r="E19" s="38" t="s">
        <v>904</v>
      </c>
      <c r="I19" s="38" t="s">
        <v>908</v>
      </c>
      <c r="J19" s="38" t="s">
        <v>901</v>
      </c>
      <c r="K19" s="38" t="s">
        <v>902</v>
      </c>
      <c r="L19" s="38" t="s">
        <v>905</v>
      </c>
      <c r="M19" s="38" t="s">
        <v>906</v>
      </c>
    </row>
    <row r="20" spans="1:13" x14ac:dyDescent="0.35">
      <c r="A20" s="38" t="s">
        <v>909</v>
      </c>
      <c r="B20" s="38" t="s">
        <v>899</v>
      </c>
      <c r="C20" s="38" t="s">
        <v>900</v>
      </c>
      <c r="D20" s="38" t="s">
        <v>903</v>
      </c>
      <c r="E20" s="38" t="s">
        <v>904</v>
      </c>
      <c r="I20" s="38" t="s">
        <v>910</v>
      </c>
      <c r="J20" s="38" t="s">
        <v>901</v>
      </c>
      <c r="K20" s="38" t="s">
        <v>902</v>
      </c>
      <c r="L20" s="38" t="s">
        <v>905</v>
      </c>
      <c r="M20" s="38" t="s">
        <v>906</v>
      </c>
    </row>
    <row r="21" spans="1:13" x14ac:dyDescent="0.35">
      <c r="A21" s="38" t="s">
        <v>911</v>
      </c>
      <c r="B21" s="38" t="s">
        <v>899</v>
      </c>
      <c r="C21" s="38" t="s">
        <v>900</v>
      </c>
      <c r="D21" s="38" t="s">
        <v>903</v>
      </c>
      <c r="E21" s="38" t="s">
        <v>904</v>
      </c>
      <c r="I21" s="38" t="s">
        <v>912</v>
      </c>
      <c r="J21" s="38" t="s">
        <v>901</v>
      </c>
      <c r="K21" s="38" t="s">
        <v>902</v>
      </c>
      <c r="L21" s="38" t="s">
        <v>905</v>
      </c>
      <c r="M21" s="38" t="s">
        <v>906</v>
      </c>
    </row>
    <row r="22" spans="1:13" x14ac:dyDescent="0.35">
      <c r="A22" s="38" t="s">
        <v>913</v>
      </c>
      <c r="B22" s="38" t="s">
        <v>899</v>
      </c>
      <c r="C22" s="38" t="s">
        <v>900</v>
      </c>
      <c r="D22" s="38" t="s">
        <v>903</v>
      </c>
      <c r="E22" s="38" t="s">
        <v>904</v>
      </c>
      <c r="I22" s="38" t="s">
        <v>914</v>
      </c>
      <c r="J22" s="38" t="s">
        <v>901</v>
      </c>
      <c r="K22" s="38" t="s">
        <v>902</v>
      </c>
      <c r="L22" s="38" t="s">
        <v>905</v>
      </c>
      <c r="M22" s="38" t="s">
        <v>906</v>
      </c>
    </row>
    <row r="23" spans="1:13" x14ac:dyDescent="0.35">
      <c r="A23" s="38" t="s">
        <v>915</v>
      </c>
      <c r="B23" s="38" t="s">
        <v>899</v>
      </c>
      <c r="C23" s="38" t="s">
        <v>900</v>
      </c>
      <c r="D23" s="38" t="s">
        <v>903</v>
      </c>
      <c r="E23" s="38" t="s">
        <v>904</v>
      </c>
      <c r="I23" s="38" t="s">
        <v>916</v>
      </c>
      <c r="J23" s="38" t="s">
        <v>901</v>
      </c>
      <c r="K23" s="38" t="s">
        <v>902</v>
      </c>
      <c r="L23" s="38" t="s">
        <v>905</v>
      </c>
      <c r="M23" s="38" t="s">
        <v>906</v>
      </c>
    </row>
    <row r="24" spans="1:13" x14ac:dyDescent="0.35">
      <c r="A24" s="38" t="s">
        <v>917</v>
      </c>
      <c r="B24" s="38" t="s">
        <v>899</v>
      </c>
      <c r="C24" s="38" t="s">
        <v>900</v>
      </c>
      <c r="D24" s="38" t="s">
        <v>903</v>
      </c>
      <c r="E24" s="38" t="s">
        <v>904</v>
      </c>
      <c r="I24" s="38" t="s">
        <v>918</v>
      </c>
      <c r="J24" s="38" t="s">
        <v>901</v>
      </c>
      <c r="K24" s="38" t="s">
        <v>902</v>
      </c>
      <c r="L24" s="38" t="s">
        <v>905</v>
      </c>
      <c r="M24" s="38" t="s">
        <v>906</v>
      </c>
    </row>
    <row r="25" spans="1:13" x14ac:dyDescent="0.35">
      <c r="A25" s="38" t="s">
        <v>919</v>
      </c>
      <c r="B25" s="38" t="s">
        <v>899</v>
      </c>
      <c r="C25" s="38" t="s">
        <v>900</v>
      </c>
      <c r="D25" s="38" t="s">
        <v>903</v>
      </c>
      <c r="E25" s="38" t="s">
        <v>904</v>
      </c>
      <c r="I25" s="38" t="s">
        <v>920</v>
      </c>
      <c r="J25" s="38" t="s">
        <v>901</v>
      </c>
      <c r="K25" s="38" t="s">
        <v>902</v>
      </c>
      <c r="L25" s="38" t="s">
        <v>905</v>
      </c>
      <c r="M25" s="38" t="s">
        <v>906</v>
      </c>
    </row>
    <row r="26" spans="1:13" x14ac:dyDescent="0.35">
      <c r="A26" s="38" t="s">
        <v>921</v>
      </c>
      <c r="B26" s="38" t="s">
        <v>899</v>
      </c>
      <c r="C26" s="38" t="s">
        <v>900</v>
      </c>
      <c r="D26" s="38" t="s">
        <v>903</v>
      </c>
      <c r="E26" s="38" t="s">
        <v>904</v>
      </c>
      <c r="I26" s="38" t="s">
        <v>922</v>
      </c>
      <c r="J26" s="38" t="s">
        <v>901</v>
      </c>
      <c r="K26" s="38" t="s">
        <v>902</v>
      </c>
      <c r="L26" s="38" t="s">
        <v>905</v>
      </c>
      <c r="M26" s="38" t="s">
        <v>906</v>
      </c>
    </row>
    <row r="27" spans="1:13" x14ac:dyDescent="0.35">
      <c r="A27" s="38" t="s">
        <v>923</v>
      </c>
      <c r="B27" s="38" t="s">
        <v>899</v>
      </c>
      <c r="C27" s="38" t="s">
        <v>900</v>
      </c>
      <c r="D27" s="38" t="s">
        <v>924</v>
      </c>
      <c r="E27" s="38" t="s">
        <v>925</v>
      </c>
      <c r="I27" s="38" t="s">
        <v>926</v>
      </c>
      <c r="J27" s="38" t="s">
        <v>901</v>
      </c>
      <c r="K27" s="38" t="s">
        <v>902</v>
      </c>
      <c r="L27" s="38" t="s">
        <v>927</v>
      </c>
      <c r="M27" s="38" t="s">
        <v>927</v>
      </c>
    </row>
    <row r="28" spans="1:13" x14ac:dyDescent="0.35">
      <c r="A28" s="38" t="s">
        <v>928</v>
      </c>
      <c r="B28" s="38" t="s">
        <v>899</v>
      </c>
      <c r="C28" s="38" t="s">
        <v>900</v>
      </c>
      <c r="D28" s="38" t="s">
        <v>924</v>
      </c>
      <c r="E28" s="38" t="s">
        <v>925</v>
      </c>
      <c r="I28" s="38" t="s">
        <v>929</v>
      </c>
      <c r="J28" s="38" t="s">
        <v>901</v>
      </c>
      <c r="K28" s="38" t="s">
        <v>902</v>
      </c>
      <c r="L28" s="38" t="s">
        <v>927</v>
      </c>
      <c r="M28" s="38" t="s">
        <v>927</v>
      </c>
    </row>
    <row r="29" spans="1:13" x14ac:dyDescent="0.35">
      <c r="A29" s="38" t="s">
        <v>930</v>
      </c>
      <c r="B29" s="38" t="s">
        <v>899</v>
      </c>
      <c r="C29" s="38" t="s">
        <v>900</v>
      </c>
      <c r="D29" s="38" t="s">
        <v>924</v>
      </c>
      <c r="E29" s="38" t="s">
        <v>925</v>
      </c>
      <c r="I29" s="38" t="s">
        <v>931</v>
      </c>
      <c r="J29" s="38" t="s">
        <v>901</v>
      </c>
      <c r="K29" s="38" t="s">
        <v>902</v>
      </c>
      <c r="L29" s="38" t="s">
        <v>927</v>
      </c>
      <c r="M29" s="38" t="s">
        <v>927</v>
      </c>
    </row>
    <row r="30" spans="1:13" x14ac:dyDescent="0.35">
      <c r="A30" s="38" t="s">
        <v>932</v>
      </c>
      <c r="B30" s="38" t="s">
        <v>899</v>
      </c>
      <c r="C30" s="38" t="s">
        <v>900</v>
      </c>
      <c r="D30" s="38" t="s">
        <v>924</v>
      </c>
      <c r="E30" s="38" t="s">
        <v>925</v>
      </c>
      <c r="I30" s="38" t="s">
        <v>933</v>
      </c>
      <c r="J30" s="38" t="s">
        <v>901</v>
      </c>
      <c r="K30" s="38" t="s">
        <v>902</v>
      </c>
      <c r="L30" s="38" t="s">
        <v>927</v>
      </c>
      <c r="M30" s="38" t="s">
        <v>927</v>
      </c>
    </row>
    <row r="31" spans="1:13" x14ac:dyDescent="0.35">
      <c r="A31" s="38" t="s">
        <v>934</v>
      </c>
      <c r="B31" s="38" t="s">
        <v>899</v>
      </c>
      <c r="C31" s="38" t="s">
        <v>900</v>
      </c>
      <c r="D31" s="38" t="s">
        <v>924</v>
      </c>
      <c r="E31" s="38" t="s">
        <v>925</v>
      </c>
      <c r="I31" s="38" t="s">
        <v>935</v>
      </c>
      <c r="J31" s="38" t="s">
        <v>901</v>
      </c>
      <c r="K31" s="38" t="s">
        <v>902</v>
      </c>
      <c r="L31" s="38" t="s">
        <v>927</v>
      </c>
      <c r="M31" s="38" t="s">
        <v>927</v>
      </c>
    </row>
    <row r="32" spans="1:13" x14ac:dyDescent="0.35">
      <c r="A32" s="38" t="s">
        <v>936</v>
      </c>
      <c r="B32" s="38" t="s">
        <v>899</v>
      </c>
      <c r="C32" s="38" t="s">
        <v>900</v>
      </c>
      <c r="D32" s="38" t="s">
        <v>924</v>
      </c>
      <c r="E32" s="38" t="s">
        <v>925</v>
      </c>
      <c r="I32" s="38" t="s">
        <v>937</v>
      </c>
      <c r="J32" s="38" t="s">
        <v>901</v>
      </c>
      <c r="K32" s="38" t="s">
        <v>902</v>
      </c>
      <c r="L32" s="38" t="s">
        <v>927</v>
      </c>
      <c r="M32" s="38" t="s">
        <v>927</v>
      </c>
    </row>
    <row r="33" spans="1:13" x14ac:dyDescent="0.35">
      <c r="A33" s="38" t="s">
        <v>680</v>
      </c>
      <c r="B33" s="38" t="s">
        <v>938</v>
      </c>
      <c r="C33" s="38" t="s">
        <v>939</v>
      </c>
      <c r="D33" s="38" t="s">
        <v>938</v>
      </c>
      <c r="E33" s="38" t="s">
        <v>939</v>
      </c>
      <c r="I33" s="38" t="s">
        <v>681</v>
      </c>
      <c r="J33" s="38" t="s">
        <v>940</v>
      </c>
      <c r="K33" s="38" t="s">
        <v>941</v>
      </c>
      <c r="L33" s="38" t="s">
        <v>940</v>
      </c>
      <c r="M33" s="38" t="s">
        <v>941</v>
      </c>
    </row>
    <row r="34" spans="1:13" x14ac:dyDescent="0.35">
      <c r="A34" s="38" t="s">
        <v>686</v>
      </c>
      <c r="B34" s="38" t="s">
        <v>938</v>
      </c>
      <c r="C34" s="38" t="s">
        <v>939</v>
      </c>
      <c r="D34" s="38" t="s">
        <v>938</v>
      </c>
      <c r="E34" s="38" t="s">
        <v>939</v>
      </c>
      <c r="I34" s="38" t="s">
        <v>687</v>
      </c>
      <c r="J34" s="38" t="s">
        <v>940</v>
      </c>
      <c r="K34" s="38" t="s">
        <v>941</v>
      </c>
      <c r="L34" s="38" t="s">
        <v>940</v>
      </c>
      <c r="M34" s="38" t="s">
        <v>941</v>
      </c>
    </row>
    <row r="35" spans="1:13" x14ac:dyDescent="0.35">
      <c r="A35" s="38" t="s">
        <v>678</v>
      </c>
      <c r="B35" s="38" t="s">
        <v>938</v>
      </c>
      <c r="C35" s="38" t="s">
        <v>939</v>
      </c>
      <c r="D35" s="38" t="s">
        <v>938</v>
      </c>
      <c r="E35" s="38" t="s">
        <v>939</v>
      </c>
      <c r="I35" s="38" t="s">
        <v>679</v>
      </c>
      <c r="J35" s="38" t="s">
        <v>940</v>
      </c>
      <c r="K35" s="38" t="s">
        <v>941</v>
      </c>
      <c r="L35" s="38" t="s">
        <v>940</v>
      </c>
      <c r="M35" s="38" t="s">
        <v>941</v>
      </c>
    </row>
    <row r="36" spans="1:13" x14ac:dyDescent="0.35">
      <c r="A36" s="38" t="s">
        <v>684</v>
      </c>
      <c r="B36" s="38" t="s">
        <v>938</v>
      </c>
      <c r="C36" s="38" t="s">
        <v>939</v>
      </c>
      <c r="D36" s="38" t="s">
        <v>938</v>
      </c>
      <c r="E36" s="38" t="s">
        <v>939</v>
      </c>
      <c r="I36" s="38" t="s">
        <v>685</v>
      </c>
      <c r="J36" s="38" t="s">
        <v>940</v>
      </c>
      <c r="K36" s="38" t="s">
        <v>941</v>
      </c>
      <c r="L36" s="38" t="s">
        <v>940</v>
      </c>
      <c r="M36" s="38" t="s">
        <v>941</v>
      </c>
    </row>
    <row r="37" spans="1:13" x14ac:dyDescent="0.35">
      <c r="A37" s="38" t="s">
        <v>682</v>
      </c>
      <c r="B37" s="38" t="s">
        <v>938</v>
      </c>
      <c r="C37" s="38" t="s">
        <v>939</v>
      </c>
      <c r="D37" s="38" t="s">
        <v>938</v>
      </c>
      <c r="E37" s="38" t="s">
        <v>939</v>
      </c>
      <c r="I37" s="38" t="s">
        <v>683</v>
      </c>
      <c r="J37" s="38" t="s">
        <v>940</v>
      </c>
      <c r="K37" s="38" t="s">
        <v>941</v>
      </c>
      <c r="L37" s="38" t="s">
        <v>940</v>
      </c>
      <c r="M37" s="38" t="s">
        <v>941</v>
      </c>
    </row>
    <row r="38" spans="1:13" x14ac:dyDescent="0.35">
      <c r="A38" s="38" t="s">
        <v>942</v>
      </c>
      <c r="B38" s="38" t="s">
        <v>938</v>
      </c>
      <c r="C38" s="38" t="s">
        <v>939</v>
      </c>
      <c r="D38" s="38" t="s">
        <v>938</v>
      </c>
      <c r="E38" s="38" t="s">
        <v>939</v>
      </c>
      <c r="I38" s="38" t="s">
        <v>943</v>
      </c>
      <c r="J38" s="38" t="s">
        <v>940</v>
      </c>
      <c r="K38" s="38" t="s">
        <v>941</v>
      </c>
      <c r="L38" s="38" t="s">
        <v>940</v>
      </c>
      <c r="M38" s="38" t="s">
        <v>941</v>
      </c>
    </row>
    <row r="39" spans="1:13" x14ac:dyDescent="0.35">
      <c r="A39" s="38" t="s">
        <v>944</v>
      </c>
      <c r="B39" s="38" t="s">
        <v>938</v>
      </c>
      <c r="C39" s="38" t="s">
        <v>939</v>
      </c>
      <c r="D39" s="38" t="s">
        <v>938</v>
      </c>
      <c r="E39" s="38" t="s">
        <v>939</v>
      </c>
      <c r="I39" s="38" t="s">
        <v>945</v>
      </c>
      <c r="J39" s="38" t="s">
        <v>940</v>
      </c>
      <c r="K39" s="38" t="s">
        <v>941</v>
      </c>
      <c r="L39" s="38" t="s">
        <v>940</v>
      </c>
      <c r="M39" s="38" t="s">
        <v>941</v>
      </c>
    </row>
    <row r="40" spans="1:13" x14ac:dyDescent="0.35">
      <c r="A40" s="38" t="s">
        <v>946</v>
      </c>
      <c r="B40" s="38" t="s">
        <v>938</v>
      </c>
      <c r="C40" s="38" t="s">
        <v>939</v>
      </c>
      <c r="D40" s="38" t="s">
        <v>938</v>
      </c>
      <c r="E40" s="38" t="s">
        <v>939</v>
      </c>
      <c r="I40" s="38" t="s">
        <v>946</v>
      </c>
      <c r="J40" s="38" t="s">
        <v>940</v>
      </c>
      <c r="K40" s="38" t="s">
        <v>941</v>
      </c>
      <c r="L40" s="38" t="s">
        <v>940</v>
      </c>
      <c r="M40" s="38" t="s">
        <v>941</v>
      </c>
    </row>
    <row r="41" spans="1:13" x14ac:dyDescent="0.35">
      <c r="A41" s="38" t="s">
        <v>947</v>
      </c>
      <c r="B41" s="38" t="s">
        <v>938</v>
      </c>
      <c r="C41" s="38" t="s">
        <v>939</v>
      </c>
      <c r="D41" s="38" t="s">
        <v>938</v>
      </c>
      <c r="E41" s="38" t="s">
        <v>939</v>
      </c>
      <c r="I41" s="38" t="s">
        <v>948</v>
      </c>
      <c r="J41" s="38" t="s">
        <v>940</v>
      </c>
      <c r="K41" s="38" t="s">
        <v>941</v>
      </c>
      <c r="L41" s="38" t="s">
        <v>940</v>
      </c>
      <c r="M41" s="38" t="s">
        <v>941</v>
      </c>
    </row>
    <row r="42" spans="1:13" x14ac:dyDescent="0.35">
      <c r="A42" s="38" t="s">
        <v>949</v>
      </c>
      <c r="B42" s="38" t="s">
        <v>938</v>
      </c>
      <c r="C42" s="38" t="s">
        <v>939</v>
      </c>
      <c r="D42" s="38" t="s">
        <v>938</v>
      </c>
      <c r="E42" s="38" t="s">
        <v>939</v>
      </c>
      <c r="I42" s="38" t="s">
        <v>950</v>
      </c>
      <c r="J42" s="38" t="s">
        <v>940</v>
      </c>
      <c r="K42" s="38" t="s">
        <v>941</v>
      </c>
      <c r="L42" s="38" t="s">
        <v>940</v>
      </c>
      <c r="M42" s="38" t="s">
        <v>941</v>
      </c>
    </row>
    <row r="43" spans="1:13" x14ac:dyDescent="0.35">
      <c r="A43" s="38" t="s">
        <v>951</v>
      </c>
      <c r="B43" s="38" t="s">
        <v>938</v>
      </c>
      <c r="C43" s="38" t="s">
        <v>939</v>
      </c>
      <c r="D43" s="38" t="s">
        <v>938</v>
      </c>
      <c r="E43" s="38" t="s">
        <v>939</v>
      </c>
      <c r="I43" s="38" t="s">
        <v>952</v>
      </c>
      <c r="J43" s="38" t="s">
        <v>940</v>
      </c>
      <c r="K43" s="38" t="s">
        <v>941</v>
      </c>
      <c r="L43" s="38" t="s">
        <v>940</v>
      </c>
      <c r="M43" s="38" t="s">
        <v>941</v>
      </c>
    </row>
    <row r="44" spans="1:13" x14ac:dyDescent="0.35">
      <c r="A44" s="38" t="s">
        <v>953</v>
      </c>
      <c r="B44" s="38" t="s">
        <v>938</v>
      </c>
      <c r="C44" s="38" t="s">
        <v>939</v>
      </c>
      <c r="D44" s="38" t="s">
        <v>938</v>
      </c>
      <c r="E44" s="38" t="s">
        <v>939</v>
      </c>
      <c r="I44" s="38" t="s">
        <v>954</v>
      </c>
      <c r="J44" s="38" t="s">
        <v>940</v>
      </c>
      <c r="K44" s="38" t="s">
        <v>941</v>
      </c>
      <c r="L44" s="38" t="s">
        <v>940</v>
      </c>
      <c r="M44" s="38" t="s">
        <v>941</v>
      </c>
    </row>
    <row r="45" spans="1:13" x14ac:dyDescent="0.35">
      <c r="A45" s="38" t="s">
        <v>955</v>
      </c>
      <c r="B45" s="38" t="s">
        <v>938</v>
      </c>
      <c r="C45" s="38" t="s">
        <v>939</v>
      </c>
      <c r="D45" s="38" t="s">
        <v>938</v>
      </c>
      <c r="E45" s="38" t="s">
        <v>939</v>
      </c>
      <c r="I45" s="38" t="s">
        <v>956</v>
      </c>
      <c r="J45" s="38" t="s">
        <v>940</v>
      </c>
      <c r="K45" s="38" t="s">
        <v>941</v>
      </c>
      <c r="L45" s="38" t="s">
        <v>940</v>
      </c>
      <c r="M45" s="38" t="s">
        <v>941</v>
      </c>
    </row>
    <row r="46" spans="1:13" x14ac:dyDescent="0.35">
      <c r="A46" s="38" t="s">
        <v>957</v>
      </c>
      <c r="B46" s="38" t="s">
        <v>938</v>
      </c>
      <c r="C46" s="38" t="s">
        <v>939</v>
      </c>
      <c r="D46" s="38" t="s">
        <v>938</v>
      </c>
      <c r="E46" s="38" t="s">
        <v>939</v>
      </c>
      <c r="I46" s="38" t="s">
        <v>958</v>
      </c>
      <c r="J46" s="38" t="s">
        <v>940</v>
      </c>
      <c r="K46" s="38" t="s">
        <v>941</v>
      </c>
      <c r="L46" s="38" t="s">
        <v>940</v>
      </c>
      <c r="M46" s="38" t="s">
        <v>941</v>
      </c>
    </row>
    <row r="47" spans="1:13" x14ac:dyDescent="0.35">
      <c r="A47" s="38" t="s">
        <v>959</v>
      </c>
      <c r="B47" s="38" t="s">
        <v>938</v>
      </c>
      <c r="C47" s="38" t="s">
        <v>939</v>
      </c>
      <c r="D47" s="38" t="s">
        <v>938</v>
      </c>
      <c r="E47" s="38" t="s">
        <v>939</v>
      </c>
      <c r="I47" s="38" t="s">
        <v>959</v>
      </c>
      <c r="J47" s="38" t="s">
        <v>940</v>
      </c>
      <c r="K47" s="38" t="s">
        <v>941</v>
      </c>
      <c r="L47" s="38" t="s">
        <v>940</v>
      </c>
      <c r="M47" s="38" t="s">
        <v>941</v>
      </c>
    </row>
    <row r="48" spans="1:13" x14ac:dyDescent="0.35">
      <c r="A48" s="38" t="s">
        <v>960</v>
      </c>
      <c r="B48" s="38" t="s">
        <v>938</v>
      </c>
      <c r="C48" s="38" t="s">
        <v>939</v>
      </c>
      <c r="D48" s="38" t="s">
        <v>924</v>
      </c>
      <c r="E48" s="38" t="s">
        <v>925</v>
      </c>
      <c r="I48" s="38" t="s">
        <v>961</v>
      </c>
      <c r="J48" s="38" t="s">
        <v>940</v>
      </c>
      <c r="K48" s="38" t="s">
        <v>941</v>
      </c>
      <c r="L48" s="38" t="s">
        <v>927</v>
      </c>
      <c r="M48" s="38" t="s">
        <v>927</v>
      </c>
    </row>
    <row r="49" spans="1:13" x14ac:dyDescent="0.35">
      <c r="A49" s="38" t="s">
        <v>962</v>
      </c>
      <c r="B49" s="38" t="s">
        <v>938</v>
      </c>
      <c r="C49" s="38" t="s">
        <v>939</v>
      </c>
      <c r="D49" s="38" t="s">
        <v>924</v>
      </c>
      <c r="E49" s="38" t="s">
        <v>925</v>
      </c>
      <c r="I49" s="38" t="s">
        <v>963</v>
      </c>
      <c r="J49" s="38" t="s">
        <v>940</v>
      </c>
      <c r="K49" s="38" t="s">
        <v>941</v>
      </c>
      <c r="L49" s="38" t="s">
        <v>927</v>
      </c>
      <c r="M49" s="38" t="s">
        <v>927</v>
      </c>
    </row>
    <row r="50" spans="1:13" x14ac:dyDescent="0.35">
      <c r="A50" s="38" t="s">
        <v>964</v>
      </c>
      <c r="B50" s="38" t="s">
        <v>938</v>
      </c>
      <c r="C50" s="38" t="s">
        <v>939</v>
      </c>
      <c r="D50" s="38" t="s">
        <v>924</v>
      </c>
      <c r="E50" s="38" t="s">
        <v>925</v>
      </c>
      <c r="I50" s="38" t="s">
        <v>965</v>
      </c>
      <c r="J50" s="38" t="s">
        <v>940</v>
      </c>
      <c r="K50" s="38" t="s">
        <v>941</v>
      </c>
      <c r="L50" s="38" t="s">
        <v>927</v>
      </c>
      <c r="M50" s="38" t="s">
        <v>927</v>
      </c>
    </row>
    <row r="51" spans="1:13" x14ac:dyDescent="0.35">
      <c r="A51" s="38" t="s">
        <v>966</v>
      </c>
      <c r="B51" s="38" t="s">
        <v>938</v>
      </c>
      <c r="C51" s="38" t="s">
        <v>939</v>
      </c>
      <c r="D51" s="38" t="s">
        <v>924</v>
      </c>
      <c r="E51" s="38" t="s">
        <v>925</v>
      </c>
      <c r="I51" s="38" t="s">
        <v>966</v>
      </c>
      <c r="J51" s="38" t="s">
        <v>940</v>
      </c>
      <c r="K51" s="38" t="s">
        <v>941</v>
      </c>
      <c r="L51" s="38" t="s">
        <v>927</v>
      </c>
      <c r="M51" s="38" t="s">
        <v>927</v>
      </c>
    </row>
    <row r="52" spans="1:13" x14ac:dyDescent="0.35">
      <c r="A52" s="38" t="s">
        <v>967</v>
      </c>
      <c r="B52" s="38" t="s">
        <v>968</v>
      </c>
      <c r="C52" s="38" t="s">
        <v>969</v>
      </c>
      <c r="D52" s="38" t="s">
        <v>970</v>
      </c>
      <c r="E52" s="38" t="s">
        <v>669</v>
      </c>
      <c r="I52" s="38" t="s">
        <v>971</v>
      </c>
      <c r="J52" s="38" t="s">
        <v>972</v>
      </c>
      <c r="K52" s="38" t="s">
        <v>969</v>
      </c>
      <c r="L52" s="38" t="s">
        <v>973</v>
      </c>
      <c r="M52" s="38" t="s">
        <v>669</v>
      </c>
    </row>
    <row r="53" spans="1:13" x14ac:dyDescent="0.35">
      <c r="A53" s="38" t="s">
        <v>670</v>
      </c>
      <c r="B53" s="38" t="s">
        <v>968</v>
      </c>
      <c r="C53" s="38" t="s">
        <v>969</v>
      </c>
      <c r="D53" s="38" t="s">
        <v>924</v>
      </c>
      <c r="E53" s="38" t="s">
        <v>925</v>
      </c>
      <c r="I53" s="38" t="s">
        <v>671</v>
      </c>
      <c r="J53" s="38" t="s">
        <v>972</v>
      </c>
      <c r="K53" s="38" t="s">
        <v>969</v>
      </c>
      <c r="L53" s="38" t="s">
        <v>927</v>
      </c>
      <c r="M53" s="38" t="s">
        <v>927</v>
      </c>
    </row>
    <row r="54" spans="1:13" x14ac:dyDescent="0.35">
      <c r="A54" s="38" t="s">
        <v>974</v>
      </c>
      <c r="B54" s="38" t="s">
        <v>975</v>
      </c>
      <c r="C54" s="38" t="s">
        <v>976</v>
      </c>
      <c r="D54" s="38" t="s">
        <v>975</v>
      </c>
      <c r="E54" s="38" t="s">
        <v>977</v>
      </c>
      <c r="I54" s="38" t="s">
        <v>974</v>
      </c>
      <c r="J54" s="38" t="s">
        <v>978</v>
      </c>
      <c r="K54" s="38" t="s">
        <v>976</v>
      </c>
      <c r="L54" s="38" t="s">
        <v>978</v>
      </c>
      <c r="M54" s="38" t="s">
        <v>977</v>
      </c>
    </row>
    <row r="55" spans="1:13" x14ac:dyDescent="0.35">
      <c r="A55" s="38" t="s">
        <v>979</v>
      </c>
      <c r="B55" s="38" t="s">
        <v>975</v>
      </c>
      <c r="C55" s="38" t="s">
        <v>976</v>
      </c>
      <c r="D55" s="38" t="s">
        <v>975</v>
      </c>
      <c r="E55" s="38" t="s">
        <v>977</v>
      </c>
      <c r="I55" s="38" t="s">
        <v>980</v>
      </c>
      <c r="J55" s="38" t="s">
        <v>978</v>
      </c>
      <c r="K55" s="38" t="s">
        <v>976</v>
      </c>
      <c r="L55" s="38" t="s">
        <v>978</v>
      </c>
      <c r="M55" s="38" t="s">
        <v>977</v>
      </c>
    </row>
    <row r="56" spans="1:13" x14ac:dyDescent="0.35">
      <c r="A56" s="38" t="s">
        <v>981</v>
      </c>
      <c r="B56" s="38" t="s">
        <v>975</v>
      </c>
      <c r="C56" s="38" t="s">
        <v>976</v>
      </c>
      <c r="D56" s="38" t="s">
        <v>975</v>
      </c>
      <c r="E56" s="38" t="s">
        <v>977</v>
      </c>
      <c r="I56" s="38" t="s">
        <v>981</v>
      </c>
      <c r="J56" s="38" t="s">
        <v>978</v>
      </c>
      <c r="K56" s="38" t="s">
        <v>976</v>
      </c>
      <c r="L56" s="38" t="s">
        <v>978</v>
      </c>
      <c r="M56" s="38" t="s">
        <v>977</v>
      </c>
    </row>
    <row r="57" spans="1:13" x14ac:dyDescent="0.35">
      <c r="A57" s="38" t="s">
        <v>982</v>
      </c>
      <c r="B57" s="38" t="s">
        <v>975</v>
      </c>
      <c r="C57" s="38" t="s">
        <v>976</v>
      </c>
      <c r="D57" s="38" t="s">
        <v>975</v>
      </c>
      <c r="E57" s="38" t="s">
        <v>977</v>
      </c>
      <c r="I57" s="38" t="s">
        <v>983</v>
      </c>
      <c r="J57" s="38" t="s">
        <v>978</v>
      </c>
      <c r="K57" s="38" t="s">
        <v>976</v>
      </c>
      <c r="L57" s="38" t="s">
        <v>978</v>
      </c>
      <c r="M57" s="38" t="s">
        <v>977</v>
      </c>
    </row>
    <row r="58" spans="1:13" x14ac:dyDescent="0.35">
      <c r="A58" s="38" t="s">
        <v>984</v>
      </c>
      <c r="B58" s="38" t="s">
        <v>975</v>
      </c>
      <c r="C58" s="38" t="s">
        <v>976</v>
      </c>
      <c r="D58" s="38" t="s">
        <v>975</v>
      </c>
      <c r="E58" s="38" t="s">
        <v>977</v>
      </c>
      <c r="I58" s="38" t="s">
        <v>985</v>
      </c>
      <c r="J58" s="38" t="s">
        <v>978</v>
      </c>
      <c r="K58" s="38" t="s">
        <v>976</v>
      </c>
      <c r="L58" s="38" t="s">
        <v>978</v>
      </c>
      <c r="M58" s="38" t="s">
        <v>977</v>
      </c>
    </row>
    <row r="59" spans="1:13" x14ac:dyDescent="0.35">
      <c r="A59" s="38" t="s">
        <v>986</v>
      </c>
      <c r="B59" s="38" t="s">
        <v>975</v>
      </c>
      <c r="C59" s="38" t="s">
        <v>976</v>
      </c>
      <c r="D59" s="38" t="s">
        <v>975</v>
      </c>
      <c r="E59" s="38" t="s">
        <v>977</v>
      </c>
      <c r="I59" s="38" t="s">
        <v>987</v>
      </c>
      <c r="J59" s="38" t="s">
        <v>978</v>
      </c>
      <c r="K59" s="38" t="s">
        <v>976</v>
      </c>
      <c r="L59" s="38" t="s">
        <v>978</v>
      </c>
      <c r="M59" s="38" t="s">
        <v>977</v>
      </c>
    </row>
    <row r="60" spans="1:13" x14ac:dyDescent="0.35">
      <c r="A60" s="38" t="s">
        <v>988</v>
      </c>
      <c r="B60" s="38" t="s">
        <v>975</v>
      </c>
      <c r="C60" s="38" t="s">
        <v>976</v>
      </c>
      <c r="D60" s="38" t="s">
        <v>975</v>
      </c>
      <c r="E60" s="38" t="s">
        <v>977</v>
      </c>
      <c r="I60" s="38" t="s">
        <v>989</v>
      </c>
      <c r="J60" s="38" t="s">
        <v>978</v>
      </c>
      <c r="K60" s="38" t="s">
        <v>976</v>
      </c>
      <c r="L60" s="38" t="s">
        <v>978</v>
      </c>
      <c r="M60" s="38" t="s">
        <v>977</v>
      </c>
    </row>
    <row r="61" spans="1:13" x14ac:dyDescent="0.35">
      <c r="A61" s="38" t="s">
        <v>990</v>
      </c>
      <c r="B61" s="38" t="s">
        <v>975</v>
      </c>
      <c r="C61" s="38" t="s">
        <v>976</v>
      </c>
      <c r="D61" s="38" t="s">
        <v>975</v>
      </c>
      <c r="E61" s="38" t="s">
        <v>977</v>
      </c>
      <c r="I61" s="38" t="s">
        <v>990</v>
      </c>
      <c r="J61" s="38" t="s">
        <v>978</v>
      </c>
      <c r="K61" s="38" t="s">
        <v>976</v>
      </c>
      <c r="L61" s="38" t="s">
        <v>978</v>
      </c>
      <c r="M61" s="38" t="s">
        <v>977</v>
      </c>
    </row>
    <row r="62" spans="1:13" x14ac:dyDescent="0.35">
      <c r="A62" s="38" t="s">
        <v>991</v>
      </c>
      <c r="B62" s="38" t="s">
        <v>975</v>
      </c>
      <c r="C62" s="38" t="s">
        <v>976</v>
      </c>
      <c r="D62" s="38" t="s">
        <v>975</v>
      </c>
      <c r="E62" s="38" t="s">
        <v>977</v>
      </c>
      <c r="I62" s="38" t="s">
        <v>992</v>
      </c>
      <c r="J62" s="38" t="s">
        <v>978</v>
      </c>
      <c r="K62" s="38" t="s">
        <v>976</v>
      </c>
      <c r="L62" s="38" t="s">
        <v>978</v>
      </c>
      <c r="M62" s="38" t="s">
        <v>977</v>
      </c>
    </row>
    <row r="63" spans="1:13" x14ac:dyDescent="0.35">
      <c r="A63" s="38" t="s">
        <v>993</v>
      </c>
      <c r="B63" s="38" t="s">
        <v>975</v>
      </c>
      <c r="C63" s="38" t="s">
        <v>976</v>
      </c>
      <c r="D63" s="38" t="s">
        <v>975</v>
      </c>
      <c r="E63" s="38" t="s">
        <v>977</v>
      </c>
      <c r="I63" s="38" t="s">
        <v>993</v>
      </c>
      <c r="J63" s="38" t="s">
        <v>978</v>
      </c>
      <c r="K63" s="38" t="s">
        <v>976</v>
      </c>
      <c r="L63" s="38" t="s">
        <v>978</v>
      </c>
      <c r="M63" s="38" t="s">
        <v>977</v>
      </c>
    </row>
    <row r="64" spans="1:13" x14ac:dyDescent="0.35">
      <c r="A64" s="38" t="s">
        <v>994</v>
      </c>
      <c r="B64" s="38" t="s">
        <v>975</v>
      </c>
      <c r="C64" s="38" t="s">
        <v>976</v>
      </c>
      <c r="D64" s="38" t="s">
        <v>975</v>
      </c>
      <c r="E64" s="38" t="s">
        <v>977</v>
      </c>
      <c r="I64" s="38" t="s">
        <v>994</v>
      </c>
      <c r="J64" s="38" t="s">
        <v>978</v>
      </c>
      <c r="K64" s="38" t="s">
        <v>976</v>
      </c>
      <c r="L64" s="38" t="s">
        <v>978</v>
      </c>
      <c r="M64" s="38" t="s">
        <v>977</v>
      </c>
    </row>
    <row r="65" spans="1:13" x14ac:dyDescent="0.35">
      <c r="A65" s="38" t="s">
        <v>995</v>
      </c>
      <c r="B65" s="38" t="s">
        <v>975</v>
      </c>
      <c r="C65" s="38" t="s">
        <v>976</v>
      </c>
      <c r="D65" s="38" t="s">
        <v>975</v>
      </c>
      <c r="E65" s="38" t="s">
        <v>977</v>
      </c>
      <c r="I65" s="38" t="s">
        <v>996</v>
      </c>
      <c r="J65" s="38" t="s">
        <v>978</v>
      </c>
      <c r="K65" s="38" t="s">
        <v>976</v>
      </c>
      <c r="L65" s="38" t="s">
        <v>978</v>
      </c>
      <c r="M65" s="38" t="s">
        <v>977</v>
      </c>
    </row>
    <row r="66" spans="1:13" x14ac:dyDescent="0.35">
      <c r="A66" s="38" t="s">
        <v>997</v>
      </c>
      <c r="B66" s="38" t="s">
        <v>975</v>
      </c>
      <c r="C66" s="38" t="s">
        <v>976</v>
      </c>
      <c r="D66" s="38" t="s">
        <v>975</v>
      </c>
      <c r="E66" s="38" t="s">
        <v>977</v>
      </c>
      <c r="I66" s="38" t="s">
        <v>997</v>
      </c>
      <c r="J66" s="38" t="s">
        <v>978</v>
      </c>
      <c r="K66" s="38" t="s">
        <v>976</v>
      </c>
      <c r="L66" s="38" t="s">
        <v>978</v>
      </c>
      <c r="M66" s="38" t="s">
        <v>977</v>
      </c>
    </row>
    <row r="67" spans="1:13" x14ac:dyDescent="0.35">
      <c r="A67" s="38" t="s">
        <v>998</v>
      </c>
      <c r="B67" s="38" t="s">
        <v>975</v>
      </c>
      <c r="C67" s="38" t="s">
        <v>976</v>
      </c>
      <c r="D67" s="38" t="s">
        <v>975</v>
      </c>
      <c r="E67" s="38" t="s">
        <v>977</v>
      </c>
      <c r="I67" s="38" t="s">
        <v>998</v>
      </c>
      <c r="J67" s="38" t="s">
        <v>978</v>
      </c>
      <c r="K67" s="38" t="s">
        <v>976</v>
      </c>
      <c r="L67" s="38" t="s">
        <v>978</v>
      </c>
      <c r="M67" s="38" t="s">
        <v>977</v>
      </c>
    </row>
    <row r="68" spans="1:13" x14ac:dyDescent="0.35">
      <c r="A68" s="38" t="s">
        <v>999</v>
      </c>
      <c r="B68" s="38" t="s">
        <v>975</v>
      </c>
      <c r="C68" s="38" t="s">
        <v>976</v>
      </c>
      <c r="D68" s="38" t="s">
        <v>975</v>
      </c>
      <c r="E68" s="38" t="s">
        <v>977</v>
      </c>
      <c r="I68" s="38" t="s">
        <v>999</v>
      </c>
      <c r="J68" s="38" t="s">
        <v>978</v>
      </c>
      <c r="K68" s="38" t="s">
        <v>976</v>
      </c>
      <c r="L68" s="38" t="s">
        <v>978</v>
      </c>
      <c r="M68" s="38" t="s">
        <v>977</v>
      </c>
    </row>
    <row r="69" spans="1:13" x14ac:dyDescent="0.35">
      <c r="A69" s="38" t="s">
        <v>1000</v>
      </c>
      <c r="B69" s="38" t="s">
        <v>975</v>
      </c>
      <c r="C69" s="38" t="s">
        <v>976</v>
      </c>
      <c r="D69" s="38" t="s">
        <v>975</v>
      </c>
      <c r="E69" s="38" t="s">
        <v>977</v>
      </c>
      <c r="I69" s="38" t="s">
        <v>1000</v>
      </c>
      <c r="J69" s="38" t="s">
        <v>978</v>
      </c>
      <c r="K69" s="38" t="s">
        <v>976</v>
      </c>
      <c r="L69" s="38" t="s">
        <v>978</v>
      </c>
      <c r="M69" s="38" t="s">
        <v>977</v>
      </c>
    </row>
    <row r="70" spans="1:13" x14ac:dyDescent="0.35">
      <c r="A70" s="38" t="s">
        <v>1001</v>
      </c>
      <c r="B70" s="38" t="s">
        <v>975</v>
      </c>
      <c r="C70" s="38" t="s">
        <v>976</v>
      </c>
      <c r="D70" s="38" t="s">
        <v>975</v>
      </c>
      <c r="E70" s="38" t="s">
        <v>977</v>
      </c>
      <c r="I70" s="38" t="s">
        <v>1002</v>
      </c>
      <c r="J70" s="38" t="s">
        <v>978</v>
      </c>
      <c r="K70" s="38" t="s">
        <v>976</v>
      </c>
      <c r="L70" s="38" t="s">
        <v>978</v>
      </c>
      <c r="M70" s="38" t="s">
        <v>977</v>
      </c>
    </row>
    <row r="71" spans="1:13" x14ac:dyDescent="0.35">
      <c r="A71" s="38" t="s">
        <v>1003</v>
      </c>
      <c r="B71" s="38" t="s">
        <v>975</v>
      </c>
      <c r="C71" s="38" t="s">
        <v>976</v>
      </c>
      <c r="D71" s="38" t="s">
        <v>975</v>
      </c>
      <c r="E71" s="38" t="s">
        <v>977</v>
      </c>
      <c r="I71" s="38" t="s">
        <v>1003</v>
      </c>
      <c r="J71" s="38" t="s">
        <v>978</v>
      </c>
      <c r="K71" s="38" t="s">
        <v>976</v>
      </c>
      <c r="L71" s="38" t="s">
        <v>978</v>
      </c>
      <c r="M71" s="38" t="s">
        <v>977</v>
      </c>
    </row>
    <row r="72" spans="1:13" x14ac:dyDescent="0.35">
      <c r="A72" s="38" t="s">
        <v>1004</v>
      </c>
      <c r="B72" s="38" t="s">
        <v>975</v>
      </c>
      <c r="C72" s="38" t="s">
        <v>976</v>
      </c>
      <c r="D72" s="38" t="s">
        <v>975</v>
      </c>
      <c r="E72" s="38" t="s">
        <v>977</v>
      </c>
      <c r="I72" s="38" t="s">
        <v>1004</v>
      </c>
      <c r="J72" s="38" t="s">
        <v>978</v>
      </c>
      <c r="K72" s="38" t="s">
        <v>976</v>
      </c>
      <c r="L72" s="38" t="s">
        <v>978</v>
      </c>
      <c r="M72" s="38" t="s">
        <v>977</v>
      </c>
    </row>
    <row r="73" spans="1:13" x14ac:dyDescent="0.35">
      <c r="A73" s="38" t="s">
        <v>694</v>
      </c>
      <c r="B73" s="38" t="s">
        <v>975</v>
      </c>
      <c r="C73" s="38" t="s">
        <v>976</v>
      </c>
      <c r="D73" s="38" t="s">
        <v>975</v>
      </c>
      <c r="E73" s="38" t="s">
        <v>977</v>
      </c>
      <c r="I73" s="38" t="s">
        <v>695</v>
      </c>
      <c r="J73" s="38" t="s">
        <v>978</v>
      </c>
      <c r="K73" s="38" t="s">
        <v>976</v>
      </c>
      <c r="L73" s="38" t="s">
        <v>978</v>
      </c>
      <c r="M73" s="38" t="s">
        <v>977</v>
      </c>
    </row>
    <row r="74" spans="1:13" x14ac:dyDescent="0.35">
      <c r="A74" s="38" t="s">
        <v>1005</v>
      </c>
      <c r="B74" s="38" t="s">
        <v>975</v>
      </c>
      <c r="C74" s="38" t="s">
        <v>976</v>
      </c>
      <c r="D74" s="38" t="s">
        <v>975</v>
      </c>
      <c r="E74" s="38" t="s">
        <v>977</v>
      </c>
      <c r="I74" s="38" t="s">
        <v>1005</v>
      </c>
      <c r="J74" s="38" t="s">
        <v>978</v>
      </c>
      <c r="K74" s="38" t="s">
        <v>976</v>
      </c>
      <c r="L74" s="38" t="s">
        <v>978</v>
      </c>
      <c r="M74" s="38" t="s">
        <v>977</v>
      </c>
    </row>
    <row r="75" spans="1:13" x14ac:dyDescent="0.35">
      <c r="A75" s="38" t="s">
        <v>1006</v>
      </c>
      <c r="B75" s="38" t="s">
        <v>975</v>
      </c>
      <c r="C75" s="38" t="s">
        <v>976</v>
      </c>
      <c r="D75" s="38" t="s">
        <v>975</v>
      </c>
      <c r="E75" s="38" t="s">
        <v>977</v>
      </c>
      <c r="I75" s="38" t="s">
        <v>1006</v>
      </c>
      <c r="J75" s="38" t="s">
        <v>978</v>
      </c>
      <c r="K75" s="38" t="s">
        <v>976</v>
      </c>
      <c r="L75" s="38" t="s">
        <v>978</v>
      </c>
      <c r="M75" s="38" t="s">
        <v>977</v>
      </c>
    </row>
    <row r="76" spans="1:13" x14ac:dyDescent="0.35">
      <c r="A76" s="38" t="s">
        <v>1007</v>
      </c>
      <c r="B76" s="38" t="s">
        <v>975</v>
      </c>
      <c r="C76" s="38" t="s">
        <v>976</v>
      </c>
      <c r="D76" s="38" t="s">
        <v>975</v>
      </c>
      <c r="E76" s="38" t="s">
        <v>977</v>
      </c>
      <c r="I76" s="38" t="s">
        <v>1007</v>
      </c>
      <c r="J76" s="38" t="s">
        <v>978</v>
      </c>
      <c r="K76" s="38" t="s">
        <v>976</v>
      </c>
      <c r="L76" s="38" t="s">
        <v>978</v>
      </c>
      <c r="M76" s="38" t="s">
        <v>977</v>
      </c>
    </row>
    <row r="77" spans="1:13" x14ac:dyDescent="0.35">
      <c r="A77" s="38" t="s">
        <v>1008</v>
      </c>
      <c r="B77" s="38" t="s">
        <v>975</v>
      </c>
      <c r="C77" s="38" t="s">
        <v>976</v>
      </c>
      <c r="D77" s="38" t="s">
        <v>975</v>
      </c>
      <c r="E77" s="38" t="s">
        <v>977</v>
      </c>
      <c r="I77" s="38" t="s">
        <v>1008</v>
      </c>
      <c r="J77" s="38" t="s">
        <v>978</v>
      </c>
      <c r="K77" s="38" t="s">
        <v>976</v>
      </c>
      <c r="L77" s="38" t="s">
        <v>978</v>
      </c>
      <c r="M77" s="38" t="s">
        <v>977</v>
      </c>
    </row>
    <row r="78" spans="1:13" x14ac:dyDescent="0.35">
      <c r="A78" s="38" t="s">
        <v>1009</v>
      </c>
      <c r="B78" s="38" t="s">
        <v>975</v>
      </c>
      <c r="C78" s="38" t="s">
        <v>976</v>
      </c>
      <c r="D78" s="38" t="s">
        <v>975</v>
      </c>
      <c r="E78" s="38" t="s">
        <v>977</v>
      </c>
      <c r="I78" s="38" t="s">
        <v>1009</v>
      </c>
      <c r="J78" s="38" t="s">
        <v>978</v>
      </c>
      <c r="K78" s="38" t="s">
        <v>976</v>
      </c>
      <c r="L78" s="38" t="s">
        <v>978</v>
      </c>
      <c r="M78" s="38" t="s">
        <v>977</v>
      </c>
    </row>
    <row r="79" spans="1:13" x14ac:dyDescent="0.35">
      <c r="A79" s="38" t="s">
        <v>1010</v>
      </c>
      <c r="B79" s="38" t="s">
        <v>975</v>
      </c>
      <c r="C79" s="38" t="s">
        <v>976</v>
      </c>
      <c r="D79" s="38" t="s">
        <v>975</v>
      </c>
      <c r="E79" s="38" t="s">
        <v>977</v>
      </c>
      <c r="I79" s="38" t="s">
        <v>1010</v>
      </c>
      <c r="J79" s="38" t="s">
        <v>978</v>
      </c>
      <c r="K79" s="38" t="s">
        <v>976</v>
      </c>
      <c r="L79" s="38" t="s">
        <v>978</v>
      </c>
      <c r="M79" s="38" t="s">
        <v>977</v>
      </c>
    </row>
    <row r="80" spans="1:13" x14ac:dyDescent="0.35">
      <c r="A80" s="38" t="s">
        <v>1011</v>
      </c>
      <c r="B80" s="38" t="s">
        <v>975</v>
      </c>
      <c r="C80" s="38" t="s">
        <v>976</v>
      </c>
      <c r="D80" s="38" t="s">
        <v>975</v>
      </c>
      <c r="E80" s="38" t="s">
        <v>977</v>
      </c>
      <c r="I80" s="38" t="s">
        <v>1011</v>
      </c>
      <c r="J80" s="38" t="s">
        <v>978</v>
      </c>
      <c r="K80" s="38" t="s">
        <v>976</v>
      </c>
      <c r="L80" s="38" t="s">
        <v>978</v>
      </c>
      <c r="M80" s="38" t="s">
        <v>977</v>
      </c>
    </row>
    <row r="81" spans="1:13" x14ac:dyDescent="0.35">
      <c r="A81" s="38" t="s">
        <v>1012</v>
      </c>
      <c r="B81" s="38" t="s">
        <v>975</v>
      </c>
      <c r="C81" s="38" t="s">
        <v>976</v>
      </c>
      <c r="D81" s="38" t="s">
        <v>975</v>
      </c>
      <c r="E81" s="38" t="s">
        <v>977</v>
      </c>
      <c r="I81" s="38" t="s">
        <v>1012</v>
      </c>
      <c r="J81" s="38" t="s">
        <v>978</v>
      </c>
      <c r="K81" s="38" t="s">
        <v>976</v>
      </c>
      <c r="L81" s="38" t="s">
        <v>978</v>
      </c>
      <c r="M81" s="38" t="s">
        <v>977</v>
      </c>
    </row>
    <row r="82" spans="1:13" x14ac:dyDescent="0.35">
      <c r="A82" s="38" t="s">
        <v>1013</v>
      </c>
      <c r="B82" s="38" t="s">
        <v>1014</v>
      </c>
      <c r="C82" s="38" t="s">
        <v>1015</v>
      </c>
      <c r="D82" s="38" t="s">
        <v>692</v>
      </c>
      <c r="E82" s="38" t="s">
        <v>692</v>
      </c>
      <c r="I82" s="38" t="s">
        <v>1016</v>
      </c>
      <c r="J82" s="38" t="s">
        <v>1017</v>
      </c>
      <c r="K82" s="38" t="s">
        <v>1015</v>
      </c>
      <c r="L82" s="38" t="s">
        <v>693</v>
      </c>
      <c r="M82" s="38" t="s">
        <v>693</v>
      </c>
    </row>
    <row r="83" spans="1:13" x14ac:dyDescent="0.35">
      <c r="A83" s="38" t="s">
        <v>1018</v>
      </c>
      <c r="B83" s="38" t="s">
        <v>1014</v>
      </c>
      <c r="C83" s="38" t="s">
        <v>1015</v>
      </c>
      <c r="D83" s="38" t="s">
        <v>924</v>
      </c>
      <c r="E83" s="38" t="s">
        <v>925</v>
      </c>
      <c r="I83" s="38" t="s">
        <v>1018</v>
      </c>
      <c r="J83" s="38" t="s">
        <v>1017</v>
      </c>
      <c r="K83" s="38" t="s">
        <v>1015</v>
      </c>
      <c r="L83" s="38" t="s">
        <v>927</v>
      </c>
      <c r="M83" s="38" t="s">
        <v>927</v>
      </c>
    </row>
    <row r="84" spans="1:13" x14ac:dyDescent="0.35">
      <c r="A84" s="38" t="s">
        <v>1019</v>
      </c>
      <c r="B84" s="38" t="s">
        <v>1014</v>
      </c>
      <c r="C84" s="38" t="s">
        <v>1015</v>
      </c>
      <c r="D84" s="38" t="s">
        <v>924</v>
      </c>
      <c r="E84" s="38" t="s">
        <v>925</v>
      </c>
      <c r="I84" s="38" t="s">
        <v>1020</v>
      </c>
      <c r="J84" s="38" t="s">
        <v>1017</v>
      </c>
      <c r="K84" s="38" t="s">
        <v>1015</v>
      </c>
      <c r="L84" s="38" t="s">
        <v>927</v>
      </c>
      <c r="M84" s="38" t="s">
        <v>927</v>
      </c>
    </row>
    <row r="85" spans="1:13" x14ac:dyDescent="0.35">
      <c r="A85" s="38" t="s">
        <v>1021</v>
      </c>
      <c r="B85" s="38" t="s">
        <v>1014</v>
      </c>
      <c r="C85" s="38" t="s">
        <v>1015</v>
      </c>
      <c r="D85" s="38" t="s">
        <v>924</v>
      </c>
      <c r="E85" s="38" t="s">
        <v>925</v>
      </c>
      <c r="I85" s="38" t="s">
        <v>1022</v>
      </c>
      <c r="J85" s="38" t="s">
        <v>1017</v>
      </c>
      <c r="K85" s="38" t="s">
        <v>1015</v>
      </c>
      <c r="L85" s="38" t="s">
        <v>927</v>
      </c>
      <c r="M85" s="38" t="s">
        <v>927</v>
      </c>
    </row>
    <row r="86" spans="1:13" x14ac:dyDescent="0.35">
      <c r="A86" s="38" t="s">
        <v>1023</v>
      </c>
      <c r="B86" s="38" t="s">
        <v>1014</v>
      </c>
      <c r="C86" s="38" t="s">
        <v>1015</v>
      </c>
      <c r="D86" s="38" t="s">
        <v>924</v>
      </c>
      <c r="E86" s="38" t="s">
        <v>925</v>
      </c>
      <c r="I86" s="38" t="s">
        <v>1024</v>
      </c>
      <c r="J86" s="38" t="s">
        <v>1017</v>
      </c>
      <c r="K86" s="38" t="s">
        <v>1015</v>
      </c>
      <c r="L86" s="38" t="s">
        <v>927</v>
      </c>
      <c r="M86" s="38" t="s">
        <v>927</v>
      </c>
    </row>
    <row r="87" spans="1:13" x14ac:dyDescent="0.35">
      <c r="A87" s="38" t="s">
        <v>1025</v>
      </c>
      <c r="B87" s="38" t="s">
        <v>1014</v>
      </c>
      <c r="C87" s="38" t="s">
        <v>1015</v>
      </c>
      <c r="D87" s="38" t="s">
        <v>924</v>
      </c>
      <c r="E87" s="38" t="s">
        <v>925</v>
      </c>
      <c r="I87" s="38" t="s">
        <v>1026</v>
      </c>
      <c r="J87" s="38" t="s">
        <v>1017</v>
      </c>
      <c r="K87" s="38" t="s">
        <v>1015</v>
      </c>
      <c r="L87" s="38" t="s">
        <v>927</v>
      </c>
      <c r="M87" s="38" t="s">
        <v>927</v>
      </c>
    </row>
    <row r="88" spans="1:13" x14ac:dyDescent="0.35">
      <c r="A88" s="38" t="s">
        <v>1027</v>
      </c>
      <c r="B88" s="38" t="s">
        <v>1014</v>
      </c>
      <c r="C88" s="38" t="s">
        <v>1015</v>
      </c>
      <c r="D88" s="38" t="s">
        <v>924</v>
      </c>
      <c r="E88" s="38" t="s">
        <v>925</v>
      </c>
      <c r="I88" s="38" t="s">
        <v>1028</v>
      </c>
      <c r="J88" s="38" t="s">
        <v>1017</v>
      </c>
      <c r="K88" s="38" t="s">
        <v>1015</v>
      </c>
      <c r="L88" s="38" t="s">
        <v>927</v>
      </c>
      <c r="M88" s="38" t="s">
        <v>927</v>
      </c>
    </row>
    <row r="89" spans="1:13" x14ac:dyDescent="0.35">
      <c r="A89" s="38" t="s">
        <v>1029</v>
      </c>
      <c r="B89" s="38" t="s">
        <v>1014</v>
      </c>
      <c r="C89" s="38" t="s">
        <v>1015</v>
      </c>
      <c r="D89" s="38" t="s">
        <v>924</v>
      </c>
      <c r="E89" s="38" t="s">
        <v>925</v>
      </c>
      <c r="I89" s="38" t="s">
        <v>1029</v>
      </c>
      <c r="J89" s="38" t="s">
        <v>1017</v>
      </c>
      <c r="K89" s="38" t="s">
        <v>1015</v>
      </c>
      <c r="L89" s="38" t="s">
        <v>927</v>
      </c>
      <c r="M89" s="38" t="s">
        <v>927</v>
      </c>
    </row>
    <row r="90" spans="1:13" x14ac:dyDescent="0.35">
      <c r="A90" s="38" t="s">
        <v>1030</v>
      </c>
      <c r="B90" s="38" t="s">
        <v>1014</v>
      </c>
      <c r="C90" s="38" t="s">
        <v>1015</v>
      </c>
      <c r="D90" s="38" t="s">
        <v>924</v>
      </c>
      <c r="E90" s="38" t="s">
        <v>925</v>
      </c>
      <c r="I90" s="38" t="s">
        <v>1031</v>
      </c>
      <c r="J90" s="38" t="s">
        <v>1017</v>
      </c>
      <c r="K90" s="38" t="s">
        <v>1015</v>
      </c>
      <c r="L90" s="38" t="s">
        <v>927</v>
      </c>
      <c r="M90" s="38" t="s">
        <v>927</v>
      </c>
    </row>
    <row r="91" spans="1:13" x14ac:dyDescent="0.35">
      <c r="A91" s="38" t="s">
        <v>1032</v>
      </c>
      <c r="B91" s="38" t="s">
        <v>1014</v>
      </c>
      <c r="C91" s="38" t="s">
        <v>1015</v>
      </c>
      <c r="D91" s="38" t="s">
        <v>924</v>
      </c>
      <c r="E91" s="38" t="s">
        <v>925</v>
      </c>
      <c r="I91" s="38" t="s">
        <v>1032</v>
      </c>
      <c r="J91" s="38" t="s">
        <v>1017</v>
      </c>
      <c r="K91" s="38" t="s">
        <v>1015</v>
      </c>
      <c r="L91" s="38" t="s">
        <v>927</v>
      </c>
      <c r="M91" s="38" t="s">
        <v>927</v>
      </c>
    </row>
    <row r="92" spans="1:13" x14ac:dyDescent="0.35">
      <c r="A92" s="38" t="s">
        <v>1033</v>
      </c>
      <c r="B92" s="38" t="s">
        <v>1014</v>
      </c>
      <c r="C92" s="38" t="s">
        <v>1015</v>
      </c>
      <c r="D92" s="38" t="s">
        <v>924</v>
      </c>
      <c r="E92" s="38" t="s">
        <v>925</v>
      </c>
      <c r="I92" s="38" t="s">
        <v>1034</v>
      </c>
      <c r="J92" s="38" t="s">
        <v>1017</v>
      </c>
      <c r="K92" s="38" t="s">
        <v>1015</v>
      </c>
      <c r="L92" s="38" t="s">
        <v>927</v>
      </c>
      <c r="M92" s="38" t="s">
        <v>927</v>
      </c>
    </row>
    <row r="93" spans="1:13" x14ac:dyDescent="0.35">
      <c r="A93" s="38" t="s">
        <v>1035</v>
      </c>
      <c r="B93" s="38" t="s">
        <v>1014</v>
      </c>
      <c r="C93" s="38" t="s">
        <v>1015</v>
      </c>
      <c r="D93" s="38" t="s">
        <v>924</v>
      </c>
      <c r="E93" s="38" t="s">
        <v>925</v>
      </c>
      <c r="I93" s="38" t="s">
        <v>1036</v>
      </c>
      <c r="J93" s="38" t="s">
        <v>1017</v>
      </c>
      <c r="K93" s="38" t="s">
        <v>1015</v>
      </c>
      <c r="L93" s="38" t="s">
        <v>927</v>
      </c>
      <c r="M93" s="38" t="s">
        <v>927</v>
      </c>
    </row>
    <row r="94" spans="1:13" x14ac:dyDescent="0.35">
      <c r="A94" s="38" t="s">
        <v>1037</v>
      </c>
      <c r="B94" s="38" t="s">
        <v>1014</v>
      </c>
      <c r="C94" s="38" t="s">
        <v>1015</v>
      </c>
      <c r="D94" s="38" t="s">
        <v>924</v>
      </c>
      <c r="E94" s="38" t="s">
        <v>925</v>
      </c>
      <c r="I94" s="38" t="s">
        <v>1038</v>
      </c>
      <c r="J94" s="38" t="s">
        <v>1017</v>
      </c>
      <c r="K94" s="38" t="s">
        <v>1015</v>
      </c>
      <c r="L94" s="38" t="s">
        <v>927</v>
      </c>
      <c r="M94" s="38" t="s">
        <v>927</v>
      </c>
    </row>
    <row r="95" spans="1:13" x14ac:dyDescent="0.35">
      <c r="A95" s="38" t="s">
        <v>1039</v>
      </c>
      <c r="B95" s="38" t="s">
        <v>1014</v>
      </c>
      <c r="C95" s="38" t="s">
        <v>1015</v>
      </c>
      <c r="D95" s="38" t="s">
        <v>924</v>
      </c>
      <c r="E95" s="38" t="s">
        <v>925</v>
      </c>
      <c r="I95" s="38" t="s">
        <v>1040</v>
      </c>
      <c r="J95" s="38" t="s">
        <v>1017</v>
      </c>
      <c r="K95" s="38" t="s">
        <v>1015</v>
      </c>
      <c r="L95" s="38" t="s">
        <v>927</v>
      </c>
      <c r="M95" s="38" t="s">
        <v>927</v>
      </c>
    </row>
    <row r="96" spans="1:13" x14ac:dyDescent="0.35">
      <c r="A96" s="38" t="s">
        <v>1041</v>
      </c>
      <c r="B96" s="38" t="s">
        <v>924</v>
      </c>
      <c r="C96" s="38" t="s">
        <v>925</v>
      </c>
      <c r="D96" s="38" t="s">
        <v>924</v>
      </c>
      <c r="E96" s="38" t="s">
        <v>925</v>
      </c>
      <c r="I96" s="38" t="s">
        <v>1042</v>
      </c>
      <c r="J96" s="38" t="s">
        <v>927</v>
      </c>
      <c r="K96" s="38" t="s">
        <v>846</v>
      </c>
      <c r="L96" s="38" t="s">
        <v>927</v>
      </c>
      <c r="M96" s="38" t="s">
        <v>927</v>
      </c>
    </row>
    <row r="97" spans="1:13" x14ac:dyDescent="0.35">
      <c r="A97" s="38" t="s">
        <v>1043</v>
      </c>
      <c r="B97" s="38" t="s">
        <v>924</v>
      </c>
      <c r="C97" s="38" t="s">
        <v>925</v>
      </c>
      <c r="D97" s="38" t="s">
        <v>924</v>
      </c>
      <c r="E97" s="38" t="s">
        <v>925</v>
      </c>
      <c r="I97" s="38" t="s">
        <v>1043</v>
      </c>
      <c r="J97" s="38" t="s">
        <v>927</v>
      </c>
      <c r="K97" s="38" t="s">
        <v>846</v>
      </c>
      <c r="L97" s="38" t="s">
        <v>927</v>
      </c>
      <c r="M97" s="38" t="s">
        <v>927</v>
      </c>
    </row>
    <row r="98" spans="1:13" x14ac:dyDescent="0.35">
      <c r="A98" s="38" t="s">
        <v>1044</v>
      </c>
      <c r="B98" s="38" t="s">
        <v>924</v>
      </c>
      <c r="C98" s="38" t="s">
        <v>925</v>
      </c>
      <c r="D98" s="38" t="s">
        <v>924</v>
      </c>
      <c r="E98" s="38" t="s">
        <v>925</v>
      </c>
      <c r="I98" s="38" t="s">
        <v>1044</v>
      </c>
      <c r="J98" s="38" t="s">
        <v>927</v>
      </c>
      <c r="K98" s="38" t="s">
        <v>846</v>
      </c>
      <c r="L98" s="38" t="s">
        <v>927</v>
      </c>
      <c r="M98" s="38" t="s">
        <v>927</v>
      </c>
    </row>
    <row r="99" spans="1:13" x14ac:dyDescent="0.35">
      <c r="A99" s="38" t="s">
        <v>1045</v>
      </c>
      <c r="B99" s="38" t="s">
        <v>924</v>
      </c>
      <c r="C99" s="38" t="s">
        <v>925</v>
      </c>
      <c r="D99" s="38" t="s">
        <v>924</v>
      </c>
      <c r="E99" s="38" t="s">
        <v>925</v>
      </c>
      <c r="I99" s="38" t="s">
        <v>1046</v>
      </c>
      <c r="J99" s="38" t="s">
        <v>927</v>
      </c>
      <c r="K99" s="38" t="s">
        <v>846</v>
      </c>
      <c r="L99" s="38" t="s">
        <v>927</v>
      </c>
      <c r="M99" s="38" t="s">
        <v>927</v>
      </c>
    </row>
    <row r="100" spans="1:13" x14ac:dyDescent="0.35">
      <c r="A100" s="38" t="s">
        <v>1047</v>
      </c>
      <c r="B100" s="38" t="s">
        <v>924</v>
      </c>
      <c r="C100" s="38" t="s">
        <v>925</v>
      </c>
      <c r="D100" s="38" t="s">
        <v>924</v>
      </c>
      <c r="E100" s="38" t="s">
        <v>925</v>
      </c>
      <c r="I100" s="38" t="s">
        <v>1048</v>
      </c>
      <c r="J100" s="38" t="s">
        <v>927</v>
      </c>
      <c r="K100" s="38" t="s">
        <v>846</v>
      </c>
      <c r="L100" s="38" t="s">
        <v>927</v>
      </c>
      <c r="M100" s="38" t="s">
        <v>927</v>
      </c>
    </row>
    <row r="101" spans="1:13" x14ac:dyDescent="0.35">
      <c r="A101" s="38" t="s">
        <v>1049</v>
      </c>
      <c r="B101" s="38" t="s">
        <v>924</v>
      </c>
      <c r="C101" s="38" t="s">
        <v>925</v>
      </c>
      <c r="D101" s="38" t="s">
        <v>924</v>
      </c>
      <c r="E101" s="38" t="s">
        <v>925</v>
      </c>
      <c r="I101" s="38" t="s">
        <v>1050</v>
      </c>
      <c r="J101" s="38" t="s">
        <v>927</v>
      </c>
      <c r="K101" s="38" t="s">
        <v>846</v>
      </c>
      <c r="L101" s="38" t="s">
        <v>927</v>
      </c>
      <c r="M101" s="38" t="s">
        <v>927</v>
      </c>
    </row>
    <row r="102" spans="1:13" x14ac:dyDescent="0.35">
      <c r="A102" s="38" t="s">
        <v>1051</v>
      </c>
      <c r="B102" s="38" t="s">
        <v>924</v>
      </c>
      <c r="C102" s="38" t="s">
        <v>925</v>
      </c>
      <c r="D102" s="38" t="s">
        <v>924</v>
      </c>
      <c r="E102" s="38" t="s">
        <v>925</v>
      </c>
      <c r="I102" s="38" t="s">
        <v>1052</v>
      </c>
      <c r="J102" s="38" t="s">
        <v>927</v>
      </c>
      <c r="K102" s="38" t="s">
        <v>846</v>
      </c>
      <c r="L102" s="38" t="s">
        <v>927</v>
      </c>
      <c r="M102" s="38" t="s">
        <v>927</v>
      </c>
    </row>
    <row r="103" spans="1:13" x14ac:dyDescent="0.35">
      <c r="A103" s="38" t="s">
        <v>1053</v>
      </c>
      <c r="B103" s="38" t="s">
        <v>924</v>
      </c>
      <c r="C103" s="38" t="s">
        <v>925</v>
      </c>
      <c r="D103" s="38" t="s">
        <v>924</v>
      </c>
      <c r="E103" s="38" t="s">
        <v>925</v>
      </c>
      <c r="I103" s="38" t="s">
        <v>1053</v>
      </c>
      <c r="J103" s="38" t="s">
        <v>927</v>
      </c>
      <c r="K103" s="38" t="s">
        <v>846</v>
      </c>
      <c r="L103" s="38" t="s">
        <v>927</v>
      </c>
      <c r="M103" s="38" t="s">
        <v>927</v>
      </c>
    </row>
    <row r="104" spans="1:13" x14ac:dyDescent="0.35">
      <c r="A104" s="38" t="s">
        <v>1054</v>
      </c>
      <c r="B104" s="38" t="s">
        <v>924</v>
      </c>
      <c r="C104" s="38" t="s">
        <v>925</v>
      </c>
      <c r="D104" s="38" t="s">
        <v>924</v>
      </c>
      <c r="E104" s="38" t="s">
        <v>925</v>
      </c>
      <c r="I104" s="38" t="s">
        <v>1055</v>
      </c>
      <c r="J104" s="38" t="s">
        <v>927</v>
      </c>
      <c r="K104" s="38" t="s">
        <v>846</v>
      </c>
      <c r="L104" s="38" t="s">
        <v>927</v>
      </c>
      <c r="M104" s="38" t="s">
        <v>927</v>
      </c>
    </row>
    <row r="105" spans="1:13" x14ac:dyDescent="0.35">
      <c r="A105" s="38" t="s">
        <v>1056</v>
      </c>
      <c r="B105" s="38" t="s">
        <v>924</v>
      </c>
      <c r="C105" s="38" t="s">
        <v>925</v>
      </c>
      <c r="D105" s="38" t="s">
        <v>924</v>
      </c>
      <c r="E105" s="38" t="s">
        <v>925</v>
      </c>
      <c r="I105" s="38" t="s">
        <v>1057</v>
      </c>
      <c r="J105" s="38" t="s">
        <v>927</v>
      </c>
      <c r="K105" s="38" t="s">
        <v>846</v>
      </c>
      <c r="L105" s="38" t="s">
        <v>927</v>
      </c>
      <c r="M105" s="38" t="s">
        <v>927</v>
      </c>
    </row>
    <row r="106" spans="1:13" x14ac:dyDescent="0.35">
      <c r="A106" s="38" t="s">
        <v>1058</v>
      </c>
      <c r="B106" s="38" t="s">
        <v>924</v>
      </c>
      <c r="C106" s="38" t="s">
        <v>925</v>
      </c>
      <c r="D106" s="38" t="s">
        <v>924</v>
      </c>
      <c r="E106" s="38" t="s">
        <v>925</v>
      </c>
      <c r="I106" s="38" t="s">
        <v>1059</v>
      </c>
      <c r="J106" s="38" t="s">
        <v>927</v>
      </c>
      <c r="K106" s="38" t="s">
        <v>846</v>
      </c>
      <c r="L106" s="38" t="s">
        <v>927</v>
      </c>
      <c r="M106" s="38" t="s">
        <v>927</v>
      </c>
    </row>
    <row r="107" spans="1:13" x14ac:dyDescent="0.35">
      <c r="A107" s="38" t="s">
        <v>1060</v>
      </c>
      <c r="B107" s="38" t="s">
        <v>924</v>
      </c>
      <c r="C107" s="38" t="s">
        <v>925</v>
      </c>
      <c r="D107" s="38" t="s">
        <v>924</v>
      </c>
      <c r="E107" s="38" t="s">
        <v>925</v>
      </c>
      <c r="I107" s="38" t="s">
        <v>1061</v>
      </c>
      <c r="J107" s="38" t="s">
        <v>927</v>
      </c>
      <c r="K107" s="38" t="s">
        <v>846</v>
      </c>
      <c r="L107" s="38" t="s">
        <v>927</v>
      </c>
      <c r="M107" s="38" t="s">
        <v>927</v>
      </c>
    </row>
    <row r="108" spans="1:13" x14ac:dyDescent="0.35">
      <c r="A108" s="38" t="s">
        <v>1062</v>
      </c>
      <c r="B108" s="38" t="s">
        <v>924</v>
      </c>
      <c r="C108" s="38" t="s">
        <v>925</v>
      </c>
      <c r="D108" s="38" t="s">
        <v>924</v>
      </c>
      <c r="E108" s="38" t="s">
        <v>925</v>
      </c>
      <c r="I108" s="38" t="s">
        <v>1063</v>
      </c>
      <c r="J108" s="38" t="s">
        <v>927</v>
      </c>
      <c r="K108" s="38" t="s">
        <v>846</v>
      </c>
      <c r="L108" s="38" t="s">
        <v>927</v>
      </c>
      <c r="M108" s="38" t="s">
        <v>927</v>
      </c>
    </row>
    <row r="109" spans="1:13" x14ac:dyDescent="0.35">
      <c r="A109" s="38" t="s">
        <v>1064</v>
      </c>
      <c r="B109" s="38" t="s">
        <v>924</v>
      </c>
      <c r="C109" s="38" t="s">
        <v>925</v>
      </c>
      <c r="D109" s="38" t="s">
        <v>924</v>
      </c>
      <c r="E109" s="38" t="s">
        <v>925</v>
      </c>
      <c r="I109" s="38" t="s">
        <v>1065</v>
      </c>
      <c r="J109" s="38" t="s">
        <v>927</v>
      </c>
      <c r="K109" s="38" t="s">
        <v>846</v>
      </c>
      <c r="L109" s="38" t="s">
        <v>927</v>
      </c>
      <c r="M109" s="38" t="s">
        <v>927</v>
      </c>
    </row>
    <row r="110" spans="1:13" x14ac:dyDescent="0.35">
      <c r="A110" s="38" t="s">
        <v>1066</v>
      </c>
      <c r="B110" s="38" t="s">
        <v>924</v>
      </c>
      <c r="C110" s="38" t="s">
        <v>925</v>
      </c>
      <c r="D110" s="38" t="s">
        <v>924</v>
      </c>
      <c r="E110" s="38" t="s">
        <v>925</v>
      </c>
      <c r="I110" s="38" t="s">
        <v>1067</v>
      </c>
      <c r="J110" s="38" t="s">
        <v>927</v>
      </c>
      <c r="K110" s="38" t="s">
        <v>846</v>
      </c>
      <c r="L110" s="38" t="s">
        <v>927</v>
      </c>
      <c r="M110" s="38" t="s">
        <v>927</v>
      </c>
    </row>
    <row r="111" spans="1:13" x14ac:dyDescent="0.35">
      <c r="A111" s="38" t="s">
        <v>1068</v>
      </c>
      <c r="B111" s="38" t="s">
        <v>924</v>
      </c>
      <c r="C111" s="38" t="s">
        <v>925</v>
      </c>
      <c r="D111" s="38" t="s">
        <v>924</v>
      </c>
      <c r="E111" s="38" t="s">
        <v>925</v>
      </c>
      <c r="I111" s="38" t="s">
        <v>1069</v>
      </c>
      <c r="J111" s="38" t="s">
        <v>927</v>
      </c>
      <c r="K111" s="38" t="s">
        <v>846</v>
      </c>
      <c r="L111" s="38" t="s">
        <v>927</v>
      </c>
      <c r="M111" s="38" t="s">
        <v>927</v>
      </c>
    </row>
    <row r="112" spans="1:13" x14ac:dyDescent="0.35">
      <c r="A112" s="38" t="s">
        <v>1070</v>
      </c>
      <c r="B112" s="38" t="s">
        <v>924</v>
      </c>
      <c r="C112" s="38" t="s">
        <v>925</v>
      </c>
      <c r="D112" s="38" t="s">
        <v>924</v>
      </c>
      <c r="E112" s="38" t="s">
        <v>925</v>
      </c>
      <c r="I112" s="38" t="s">
        <v>1071</v>
      </c>
      <c r="J112" s="38" t="s">
        <v>927</v>
      </c>
      <c r="K112" s="38" t="s">
        <v>846</v>
      </c>
      <c r="L112" s="38" t="s">
        <v>927</v>
      </c>
      <c r="M112" s="38" t="s">
        <v>927</v>
      </c>
    </row>
    <row r="113" spans="1:13" x14ac:dyDescent="0.35">
      <c r="A113" s="38" t="s">
        <v>1072</v>
      </c>
      <c r="B113" s="38" t="s">
        <v>924</v>
      </c>
      <c r="C113" s="38" t="s">
        <v>925</v>
      </c>
      <c r="D113" s="38" t="s">
        <v>924</v>
      </c>
      <c r="E113" s="38" t="s">
        <v>925</v>
      </c>
      <c r="I113" s="38" t="s">
        <v>1073</v>
      </c>
      <c r="J113" s="38" t="s">
        <v>927</v>
      </c>
      <c r="K113" s="38" t="s">
        <v>846</v>
      </c>
      <c r="L113" s="38" t="s">
        <v>927</v>
      </c>
      <c r="M113" s="38" t="s">
        <v>927</v>
      </c>
    </row>
    <row r="114" spans="1:13" x14ac:dyDescent="0.35">
      <c r="A114" s="38" t="s">
        <v>1074</v>
      </c>
      <c r="B114" s="38" t="s">
        <v>924</v>
      </c>
      <c r="C114" s="38" t="s">
        <v>925</v>
      </c>
      <c r="D114" s="38" t="s">
        <v>924</v>
      </c>
      <c r="E114" s="38" t="s">
        <v>925</v>
      </c>
      <c r="I114" s="38" t="s">
        <v>1075</v>
      </c>
      <c r="J114" s="38" t="s">
        <v>927</v>
      </c>
      <c r="K114" s="38" t="s">
        <v>846</v>
      </c>
      <c r="L114" s="38" t="s">
        <v>927</v>
      </c>
      <c r="M114" s="38" t="s">
        <v>927</v>
      </c>
    </row>
    <row r="115" spans="1:13" x14ac:dyDescent="0.35">
      <c r="A115" s="38" t="s">
        <v>1076</v>
      </c>
      <c r="B115" s="38" t="s">
        <v>924</v>
      </c>
      <c r="C115" s="38" t="s">
        <v>925</v>
      </c>
      <c r="D115" s="38" t="s">
        <v>924</v>
      </c>
      <c r="E115" s="38" t="s">
        <v>925</v>
      </c>
      <c r="I115" s="38" t="s">
        <v>1077</v>
      </c>
      <c r="J115" s="38" t="s">
        <v>927</v>
      </c>
      <c r="K115" s="38" t="s">
        <v>846</v>
      </c>
      <c r="L115" s="38" t="s">
        <v>927</v>
      </c>
      <c r="M115" s="38" t="s">
        <v>927</v>
      </c>
    </row>
    <row r="117" spans="1:13" ht="16.5" x14ac:dyDescent="0.35">
      <c r="A117" s="37" t="s">
        <v>1078</v>
      </c>
      <c r="I117" s="37" t="s">
        <v>1079</v>
      </c>
    </row>
  </sheetData>
  <mergeCells count="2">
    <mergeCell ref="A2:E2"/>
    <mergeCell ref="I2:M2"/>
  </mergeCells>
  <phoneticPr fontId="59" type="noConversion"/>
  <conditionalFormatting sqref="A4:A115">
    <cfRule type="duplicateValues" dxfId="4" priority="4"/>
  </conditionalFormatting>
  <conditionalFormatting sqref="I4:I115">
    <cfRule type="duplicateValues" dxfId="3" priority="3"/>
  </conditionalFormatting>
  <conditionalFormatting sqref="L5">
    <cfRule type="duplicateValues" dxfId="2" priority="2"/>
  </conditionalFormatting>
  <conditionalFormatting sqref="M5">
    <cfRule type="duplicateValues" dxfId="1" priority="1"/>
  </conditionalFormatting>
  <pageMargins left="0.7" right="0.7" top="0.75" bottom="0.75" header="0.3" footer="0.3"/>
  <pageSetup paperSize="9" orientation="portrait" verticalDpi="0" r:id="rId1"/>
  <customProperties>
    <customPr name="EpmWorksheetKeyString_GU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E75CC-5FEC-426F-AC87-241CD20A7927}">
  <sheetPr>
    <tabColor theme="4"/>
  </sheetPr>
  <dimension ref="A1:L31"/>
  <sheetViews>
    <sheetView zoomScale="86" zoomScaleNormal="86" workbookViewId="0">
      <selection activeCell="B12" sqref="B12"/>
    </sheetView>
  </sheetViews>
  <sheetFormatPr defaultRowHeight="14.5" x14ac:dyDescent="0.35"/>
  <cols>
    <col min="1" max="1" width="57.1796875" customWidth="1"/>
    <col min="2" max="2" width="58.81640625" customWidth="1"/>
  </cols>
  <sheetData>
    <row r="1" spans="1:12" ht="30.75" customHeight="1" x14ac:dyDescent="0.35">
      <c r="H1" s="39"/>
    </row>
    <row r="2" spans="1:12" x14ac:dyDescent="0.35">
      <c r="A2" s="506" t="s">
        <v>1080</v>
      </c>
      <c r="B2" s="506" t="s">
        <v>1081</v>
      </c>
    </row>
    <row r="3" spans="1:12" x14ac:dyDescent="0.35">
      <c r="A3" s="506"/>
      <c r="B3" s="506"/>
    </row>
    <row r="4" spans="1:12" x14ac:dyDescent="0.35">
      <c r="A4" s="506"/>
      <c r="B4" s="506"/>
    </row>
    <row r="5" spans="1:12" x14ac:dyDescent="0.35">
      <c r="A5" s="201" t="s">
        <v>1086</v>
      </c>
      <c r="B5" s="201" t="s">
        <v>1088</v>
      </c>
    </row>
    <row r="6" spans="1:12" ht="23" x14ac:dyDescent="0.35">
      <c r="A6" s="80" t="s">
        <v>1087</v>
      </c>
      <c r="B6" s="348" t="s">
        <v>1089</v>
      </c>
    </row>
    <row r="7" spans="1:12" x14ac:dyDescent="0.35">
      <c r="A7" s="201" t="s">
        <v>219</v>
      </c>
      <c r="B7" s="201" t="s">
        <v>219</v>
      </c>
    </row>
    <row r="8" spans="1:12" x14ac:dyDescent="0.35">
      <c r="A8" s="80" t="s">
        <v>1098</v>
      </c>
      <c r="B8" s="348" t="s">
        <v>1099</v>
      </c>
    </row>
    <row r="9" spans="1:12" x14ac:dyDescent="0.35">
      <c r="A9" s="201" t="s">
        <v>1082</v>
      </c>
      <c r="B9" s="201" t="s">
        <v>1084</v>
      </c>
    </row>
    <row r="10" spans="1:12" ht="57.5" x14ac:dyDescent="0.35">
      <c r="A10" s="80" t="s">
        <v>1083</v>
      </c>
      <c r="B10" s="348" t="s">
        <v>1085</v>
      </c>
    </row>
    <row r="11" spans="1:12" x14ac:dyDescent="0.35">
      <c r="A11" s="201" t="s">
        <v>1092</v>
      </c>
      <c r="B11" s="201" t="s">
        <v>1092</v>
      </c>
    </row>
    <row r="12" spans="1:12" ht="121.5" x14ac:dyDescent="0.35">
      <c r="A12" s="80" t="s">
        <v>1093</v>
      </c>
      <c r="B12" s="80" t="s">
        <v>1094</v>
      </c>
    </row>
    <row r="13" spans="1:12" x14ac:dyDescent="0.35">
      <c r="A13" s="201" t="s">
        <v>1091</v>
      </c>
      <c r="B13" s="201" t="s">
        <v>1090</v>
      </c>
    </row>
    <row r="14" spans="1:12" ht="54" x14ac:dyDescent="0.35">
      <c r="A14" s="80" t="s">
        <v>1095</v>
      </c>
      <c r="B14" s="80" t="s">
        <v>1096</v>
      </c>
    </row>
    <row r="15" spans="1:12" x14ac:dyDescent="0.35">
      <c r="A15" s="201" t="s">
        <v>107</v>
      </c>
      <c r="B15" s="201" t="s">
        <v>1097</v>
      </c>
    </row>
    <row r="16" spans="1:12" ht="27" x14ac:dyDescent="0.35">
      <c r="A16" s="80" t="s">
        <v>1111</v>
      </c>
      <c r="B16" s="80" t="s">
        <v>1110</v>
      </c>
      <c r="D16" s="527"/>
      <c r="E16" s="527"/>
      <c r="F16" s="527"/>
      <c r="G16" s="527"/>
      <c r="H16" s="527"/>
      <c r="I16" s="527"/>
      <c r="J16" s="527"/>
      <c r="K16" s="527"/>
      <c r="L16" s="527"/>
    </row>
    <row r="17" spans="1:2" x14ac:dyDescent="0.35">
      <c r="A17" s="398" t="s">
        <v>1112</v>
      </c>
      <c r="B17" s="201" t="s">
        <v>109</v>
      </c>
    </row>
    <row r="18" spans="1:2" ht="40.5" x14ac:dyDescent="0.35">
      <c r="A18" s="399" t="s">
        <v>1162</v>
      </c>
      <c r="B18" s="80" t="s">
        <v>1116</v>
      </c>
    </row>
    <row r="19" spans="1:2" s="398" customFormat="1" ht="13.5" x14ac:dyDescent="0.35">
      <c r="A19" s="398" t="s">
        <v>1153</v>
      </c>
      <c r="B19" s="398" t="s">
        <v>1154</v>
      </c>
    </row>
    <row r="20" spans="1:2" ht="40.5" x14ac:dyDescent="0.35">
      <c r="A20" s="80" t="s">
        <v>1159</v>
      </c>
      <c r="B20" s="80" t="s">
        <v>1156</v>
      </c>
    </row>
    <row r="21" spans="1:2" x14ac:dyDescent="0.35">
      <c r="A21" s="398" t="s">
        <v>112</v>
      </c>
      <c r="B21" s="398" t="s">
        <v>1155</v>
      </c>
    </row>
    <row r="22" spans="1:2" ht="40.5" x14ac:dyDescent="0.35">
      <c r="A22" s="80" t="s">
        <v>1160</v>
      </c>
      <c r="B22" s="80" t="s">
        <v>1157</v>
      </c>
    </row>
    <row r="23" spans="1:2" s="398" customFormat="1" ht="13.5" x14ac:dyDescent="0.35">
      <c r="A23" s="398" t="s">
        <v>114</v>
      </c>
      <c r="B23" s="398" t="s">
        <v>115</v>
      </c>
    </row>
    <row r="24" spans="1:2" ht="40.5" x14ac:dyDescent="0.35">
      <c r="A24" s="80" t="s">
        <v>1161</v>
      </c>
      <c r="B24" s="80" t="s">
        <v>1158</v>
      </c>
    </row>
    <row r="25" spans="1:2" x14ac:dyDescent="0.35">
      <c r="A25" s="402"/>
      <c r="B25" s="400"/>
    </row>
    <row r="26" spans="1:2" x14ac:dyDescent="0.35">
      <c r="A26" s="401"/>
      <c r="B26" s="401"/>
    </row>
    <row r="27" spans="1:2" x14ac:dyDescent="0.35">
      <c r="A27" s="401"/>
      <c r="B27" s="401"/>
    </row>
    <row r="28" spans="1:2" x14ac:dyDescent="0.35">
      <c r="A28" s="401"/>
      <c r="B28" s="401"/>
    </row>
    <row r="29" spans="1:2" x14ac:dyDescent="0.35">
      <c r="A29" s="403"/>
      <c r="B29" s="403"/>
    </row>
    <row r="30" spans="1:2" x14ac:dyDescent="0.35">
      <c r="A30" s="322"/>
      <c r="B30" s="322"/>
    </row>
    <row r="31" spans="1:2" x14ac:dyDescent="0.35">
      <c r="A31" s="322"/>
      <c r="B31" s="322"/>
    </row>
  </sheetData>
  <mergeCells count="4">
    <mergeCell ref="A2:A4"/>
    <mergeCell ref="B2:B4"/>
    <mergeCell ref="H16:L16"/>
    <mergeCell ref="D16:G16"/>
  </mergeCells>
  <conditionalFormatting sqref="A29:A120">
    <cfRule type="duplicateValues" dxfId="0" priority="1"/>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2B30-AAFF-4599-89F3-D9487427DBA5}">
  <sheetPr codeName="Munka3">
    <tabColor rgb="FFFFC000"/>
  </sheetPr>
  <dimension ref="A1:AP52"/>
  <sheetViews>
    <sheetView zoomScale="68" zoomScaleNormal="68" workbookViewId="0">
      <pane xSplit="2" topLeftCell="AC1" activePane="topRight" state="frozen"/>
      <selection activeCell="AG13" sqref="AG13:AG15"/>
      <selection pane="topRight" activeCell="AI7" sqref="AI7"/>
    </sheetView>
  </sheetViews>
  <sheetFormatPr defaultRowHeight="14.5" outlineLevelRow="1" x14ac:dyDescent="0.35"/>
  <cols>
    <col min="1" max="1" width="47.1796875" customWidth="1"/>
    <col min="2" max="2" width="51.453125" customWidth="1"/>
    <col min="3" max="4" width="18.81640625" customWidth="1"/>
    <col min="5" max="5" width="17.54296875" customWidth="1"/>
    <col min="6" max="27" width="18.81640625" customWidth="1"/>
    <col min="28" max="30" width="18.81640625" bestFit="1" customWidth="1"/>
    <col min="31" max="31" width="15.81640625" customWidth="1"/>
    <col min="32" max="32" width="18.453125" bestFit="1" customWidth="1"/>
    <col min="33" max="33" width="18.81640625" bestFit="1" customWidth="1"/>
    <col min="34" max="34" width="18.81640625" customWidth="1"/>
    <col min="35" max="35" width="18.81640625" style="353" customWidth="1"/>
    <col min="36" max="36" width="18.81640625" bestFit="1" customWidth="1"/>
    <col min="37" max="37" width="18.81640625" customWidth="1"/>
    <col min="38" max="38" width="13.54296875" bestFit="1" customWidth="1"/>
    <col min="40" max="40" width="12.81640625" bestFit="1" customWidth="1"/>
  </cols>
  <sheetData>
    <row r="1" spans="1:42" ht="32.25" customHeight="1" thickBot="1" x14ac:dyDescent="0.4">
      <c r="AO1" s="10"/>
    </row>
    <row r="2" spans="1:42" ht="15" thickBot="1" x14ac:dyDescent="0.4">
      <c r="A2" s="473" t="s">
        <v>35</v>
      </c>
      <c r="B2" s="473" t="s">
        <v>36</v>
      </c>
      <c r="C2" s="1" t="s">
        <v>37</v>
      </c>
      <c r="D2" s="1" t="s">
        <v>38</v>
      </c>
      <c r="E2" s="1" t="s">
        <v>39</v>
      </c>
      <c r="F2" s="1" t="s">
        <v>40</v>
      </c>
      <c r="G2" s="1">
        <v>2018</v>
      </c>
      <c r="H2" s="1" t="s">
        <v>41</v>
      </c>
      <c r="I2" s="1" t="s">
        <v>42</v>
      </c>
      <c r="J2" s="1" t="s">
        <v>43</v>
      </c>
      <c r="K2" s="1" t="s">
        <v>44</v>
      </c>
      <c r="L2" s="1">
        <v>2019</v>
      </c>
      <c r="M2" s="1" t="s">
        <v>45</v>
      </c>
      <c r="N2" s="1" t="s">
        <v>46</v>
      </c>
      <c r="O2" s="1" t="s">
        <v>47</v>
      </c>
      <c r="P2" s="1" t="s">
        <v>48</v>
      </c>
      <c r="Q2" s="1">
        <v>2020</v>
      </c>
      <c r="R2" s="1" t="s">
        <v>49</v>
      </c>
      <c r="S2" s="1" t="s">
        <v>50</v>
      </c>
      <c r="T2" s="1" t="s">
        <v>51</v>
      </c>
      <c r="U2" s="1" t="s">
        <v>52</v>
      </c>
      <c r="V2" s="1">
        <v>2021</v>
      </c>
      <c r="W2" s="1" t="s">
        <v>53</v>
      </c>
      <c r="X2" s="1" t="s">
        <v>54</v>
      </c>
      <c r="Y2" s="1" t="s">
        <v>55</v>
      </c>
      <c r="Z2" s="1" t="s">
        <v>56</v>
      </c>
      <c r="AA2" s="1">
        <v>2022</v>
      </c>
      <c r="AB2" s="1" t="s">
        <v>57</v>
      </c>
      <c r="AC2" s="1" t="s">
        <v>58</v>
      </c>
      <c r="AD2" s="1" t="s">
        <v>59</v>
      </c>
      <c r="AE2" s="1" t="s">
        <v>60</v>
      </c>
      <c r="AF2" s="1">
        <v>2023</v>
      </c>
      <c r="AG2" s="1" t="s">
        <v>61</v>
      </c>
      <c r="AH2" s="1" t="s">
        <v>1166</v>
      </c>
      <c r="AI2" s="422"/>
    </row>
    <row r="3" spans="1:42" ht="15.5" thickTop="1" thickBot="1" x14ac:dyDescent="0.4">
      <c r="A3" s="474"/>
      <c r="B3" s="474"/>
      <c r="C3" s="2" t="s">
        <v>62</v>
      </c>
      <c r="D3" s="2" t="s">
        <v>62</v>
      </c>
      <c r="E3" s="2" t="s">
        <v>62</v>
      </c>
      <c r="F3" s="2" t="s">
        <v>62</v>
      </c>
      <c r="G3" s="2" t="s">
        <v>62</v>
      </c>
      <c r="H3" s="2" t="s">
        <v>62</v>
      </c>
      <c r="I3" s="2" t="s">
        <v>62</v>
      </c>
      <c r="J3" s="2" t="s">
        <v>62</v>
      </c>
      <c r="K3" s="2" t="s">
        <v>62</v>
      </c>
      <c r="L3" s="2" t="s">
        <v>62</v>
      </c>
      <c r="M3" s="2" t="s">
        <v>62</v>
      </c>
      <c r="N3" s="2" t="s">
        <v>62</v>
      </c>
      <c r="O3" s="2" t="s">
        <v>62</v>
      </c>
      <c r="P3" s="2" t="s">
        <v>62</v>
      </c>
      <c r="Q3" s="2" t="s">
        <v>62</v>
      </c>
      <c r="R3" s="2" t="s">
        <v>62</v>
      </c>
      <c r="S3" s="2" t="s">
        <v>62</v>
      </c>
      <c r="T3" s="2" t="s">
        <v>62</v>
      </c>
      <c r="U3" s="2" t="s">
        <v>62</v>
      </c>
      <c r="V3" s="2" t="s">
        <v>62</v>
      </c>
      <c r="W3" s="2" t="s">
        <v>62</v>
      </c>
      <c r="X3" s="2" t="s">
        <v>62</v>
      </c>
      <c r="Y3" s="2" t="s">
        <v>62</v>
      </c>
      <c r="Z3" s="2" t="s">
        <v>62</v>
      </c>
      <c r="AA3" s="2" t="s">
        <v>62</v>
      </c>
      <c r="AB3" s="2" t="s">
        <v>62</v>
      </c>
      <c r="AC3" s="2" t="s">
        <v>62</v>
      </c>
      <c r="AD3" s="2" t="s">
        <v>62</v>
      </c>
      <c r="AE3" s="2" t="s">
        <v>62</v>
      </c>
      <c r="AF3" s="2" t="s">
        <v>62</v>
      </c>
      <c r="AG3" s="2" t="s">
        <v>62</v>
      </c>
      <c r="AH3" s="2" t="s">
        <v>62</v>
      </c>
      <c r="AI3" s="423"/>
      <c r="AJ3" s="8"/>
      <c r="AK3" s="8"/>
      <c r="AL3" s="8"/>
      <c r="AM3" s="8"/>
      <c r="AN3" s="8"/>
      <c r="AO3" s="8"/>
      <c r="AP3" s="8"/>
    </row>
    <row r="4" spans="1:42" ht="15" thickTop="1" x14ac:dyDescent="0.35">
      <c r="A4" s="102" t="s">
        <v>63</v>
      </c>
      <c r="B4" s="102" t="s">
        <v>64</v>
      </c>
      <c r="C4" s="147">
        <v>113945</v>
      </c>
      <c r="D4" s="147">
        <v>110485</v>
      </c>
      <c r="E4" s="147">
        <v>99445</v>
      </c>
      <c r="F4" s="147">
        <v>121609</v>
      </c>
      <c r="G4" s="332">
        <v>445484</v>
      </c>
      <c r="H4" s="147">
        <v>121612</v>
      </c>
      <c r="I4" s="147">
        <v>119910</v>
      </c>
      <c r="J4" s="147">
        <v>127537</v>
      </c>
      <c r="K4" s="147">
        <v>138735</v>
      </c>
      <c r="L4" s="332">
        <v>507794</v>
      </c>
      <c r="M4" s="147">
        <v>141426</v>
      </c>
      <c r="N4" s="147">
        <v>137266</v>
      </c>
      <c r="O4" s="147">
        <v>137697</v>
      </c>
      <c r="P4" s="147">
        <v>150387</v>
      </c>
      <c r="Q4" s="332">
        <v>566776</v>
      </c>
      <c r="R4" s="147">
        <v>140894</v>
      </c>
      <c r="S4" s="147">
        <v>155909</v>
      </c>
      <c r="T4" s="147">
        <v>157518</v>
      </c>
      <c r="U4" s="147">
        <v>176274</v>
      </c>
      <c r="V4" s="332">
        <v>630595</v>
      </c>
      <c r="W4" s="147">
        <v>168057</v>
      </c>
      <c r="X4" s="147">
        <v>192923</v>
      </c>
      <c r="Y4" s="147">
        <v>217807</v>
      </c>
      <c r="Z4" s="147">
        <v>223968</v>
      </c>
      <c r="AA4" s="332">
        <v>802755</v>
      </c>
      <c r="AB4" s="147">
        <v>209653</v>
      </c>
      <c r="AC4" s="147">
        <v>203783</v>
      </c>
      <c r="AD4" s="147">
        <v>188544</v>
      </c>
      <c r="AE4" s="8">
        <v>203178</v>
      </c>
      <c r="AF4" s="332">
        <v>805158</v>
      </c>
      <c r="AG4" s="147">
        <f>'P&amp;L (HUF)'!AS4</f>
        <v>203432</v>
      </c>
      <c r="AH4" s="411">
        <v>216261</v>
      </c>
      <c r="AI4" s="410"/>
      <c r="AJ4" s="8"/>
      <c r="AK4" s="8"/>
      <c r="AL4" s="8"/>
      <c r="AM4" s="8"/>
      <c r="AN4" s="8"/>
      <c r="AO4" s="8"/>
      <c r="AP4" s="8"/>
    </row>
    <row r="5" spans="1:42" s="330" customFormat="1" x14ac:dyDescent="0.35">
      <c r="A5" s="105" t="s">
        <v>65</v>
      </c>
      <c r="B5" s="105" t="s">
        <v>66</v>
      </c>
      <c r="C5" s="147">
        <v>110168</v>
      </c>
      <c r="D5" s="147">
        <v>104717</v>
      </c>
      <c r="E5" s="147">
        <v>92400</v>
      </c>
      <c r="F5" s="147">
        <v>114026</v>
      </c>
      <c r="G5" s="332">
        <f>G4-24173</f>
        <v>421311</v>
      </c>
      <c r="H5" s="147">
        <f>H4-14780</f>
        <v>106832</v>
      </c>
      <c r="I5" s="147">
        <f>I4-9196</f>
        <v>110714</v>
      </c>
      <c r="J5" s="147">
        <f>J4-12928</f>
        <v>114609</v>
      </c>
      <c r="K5" s="147">
        <f>K4-17733</f>
        <v>121002</v>
      </c>
      <c r="L5" s="332">
        <f>L4-54637</f>
        <v>453157</v>
      </c>
      <c r="M5" s="147">
        <f>M4-14911</f>
        <v>126515</v>
      </c>
      <c r="N5" s="147">
        <v>109199</v>
      </c>
      <c r="O5" s="147">
        <v>116171</v>
      </c>
      <c r="P5" s="147">
        <f>P4-22391</f>
        <v>127996</v>
      </c>
      <c r="Q5" s="332">
        <f>Q4-86895</f>
        <v>479881</v>
      </c>
      <c r="R5" s="147">
        <f>R4-20801</f>
        <v>120093</v>
      </c>
      <c r="S5" s="147">
        <f>S4-22919</f>
        <v>132990</v>
      </c>
      <c r="T5" s="147">
        <f>T4-27532</f>
        <v>129986</v>
      </c>
      <c r="U5" s="147">
        <f>U4-30317</f>
        <v>145957</v>
      </c>
      <c r="V5" s="332">
        <f>V4-101569</f>
        <v>529026</v>
      </c>
      <c r="W5" s="147">
        <f>W4-27479</f>
        <v>140578</v>
      </c>
      <c r="X5" s="147">
        <f>X4-29851</f>
        <v>163072</v>
      </c>
      <c r="Y5" s="147">
        <f>Y4-41204</f>
        <v>176603</v>
      </c>
      <c r="Z5" s="147">
        <f>Z4-39623</f>
        <v>184345</v>
      </c>
      <c r="AA5" s="332">
        <f>AA4-138157</f>
        <v>664598</v>
      </c>
      <c r="AB5" s="147">
        <f>AB4-40675</f>
        <v>168978</v>
      </c>
      <c r="AC5" s="147">
        <f>AC4-43389</f>
        <v>160394</v>
      </c>
      <c r="AD5" s="147">
        <f>AD4-52257</f>
        <v>136287</v>
      </c>
      <c r="AE5" s="147">
        <f>AF5-AB5-AC5-AD5</f>
        <v>144924</v>
      </c>
      <c r="AF5" s="332">
        <f>AF4-194575</f>
        <v>610583</v>
      </c>
      <c r="AG5" s="147">
        <f>AG4-CNS!X44</f>
        <v>154007</v>
      </c>
      <c r="AH5" s="411">
        <v>163431</v>
      </c>
      <c r="AI5" s="410"/>
      <c r="AJ5" s="8"/>
      <c r="AK5" s="8"/>
      <c r="AL5" s="8"/>
      <c r="AM5" s="8"/>
      <c r="AN5" s="8"/>
      <c r="AO5" s="8"/>
      <c r="AP5" s="8"/>
    </row>
    <row r="6" spans="1:42" x14ac:dyDescent="0.35">
      <c r="A6" s="102" t="s">
        <v>67</v>
      </c>
      <c r="B6" s="102" t="s">
        <v>68</v>
      </c>
      <c r="C6" s="147">
        <v>65575</v>
      </c>
      <c r="D6" s="147">
        <v>64762</v>
      </c>
      <c r="E6" s="147">
        <v>58908</v>
      </c>
      <c r="F6" s="147">
        <v>64591</v>
      </c>
      <c r="G6" s="259">
        <v>253836</v>
      </c>
      <c r="H6" s="147">
        <v>69947</v>
      </c>
      <c r="I6" s="147">
        <v>67544</v>
      </c>
      <c r="J6" s="147">
        <v>69844</v>
      </c>
      <c r="K6" s="147">
        <v>70444</v>
      </c>
      <c r="L6" s="259">
        <v>277779</v>
      </c>
      <c r="M6" s="147">
        <v>80241</v>
      </c>
      <c r="N6" s="147">
        <v>79368</v>
      </c>
      <c r="O6" s="147">
        <v>76847</v>
      </c>
      <c r="P6" s="147">
        <v>82314</v>
      </c>
      <c r="Q6" s="259">
        <v>318770</v>
      </c>
      <c r="R6" s="147">
        <v>78208</v>
      </c>
      <c r="S6" s="147">
        <v>88233</v>
      </c>
      <c r="T6" s="147">
        <v>85718</v>
      </c>
      <c r="U6" s="147">
        <v>97114</v>
      </c>
      <c r="V6" s="259">
        <v>349273</v>
      </c>
      <c r="W6" s="147">
        <v>95993</v>
      </c>
      <c r="X6" s="147">
        <v>110038</v>
      </c>
      <c r="Y6" s="147">
        <v>130673</v>
      </c>
      <c r="Z6" s="147">
        <v>123760</v>
      </c>
      <c r="AA6" s="259">
        <v>460464</v>
      </c>
      <c r="AB6" s="147">
        <v>127363</v>
      </c>
      <c r="AC6" s="147">
        <v>128944</v>
      </c>
      <c r="AD6" s="147">
        <v>135019</v>
      </c>
      <c r="AE6" s="8">
        <v>129998</v>
      </c>
      <c r="AF6" s="149">
        <v>521324</v>
      </c>
      <c r="AG6" s="147">
        <f>'P&amp;L (HUF)'!AS7</f>
        <v>142203</v>
      </c>
      <c r="AH6" s="411">
        <f>291971-AG6</f>
        <v>149768</v>
      </c>
      <c r="AI6" s="410"/>
      <c r="AJ6" s="8"/>
      <c r="AK6" s="8"/>
      <c r="AL6" s="8"/>
      <c r="AM6" s="8"/>
      <c r="AN6" s="8"/>
      <c r="AO6" s="8"/>
      <c r="AP6" s="8"/>
    </row>
    <row r="7" spans="1:42" x14ac:dyDescent="0.35">
      <c r="A7" s="105" t="s">
        <v>69</v>
      </c>
      <c r="B7" s="105" t="s">
        <v>70</v>
      </c>
      <c r="C7" s="148">
        <v>0.57549695028303127</v>
      </c>
      <c r="D7" s="148">
        <v>0.58616101733266956</v>
      </c>
      <c r="E7" s="148">
        <v>0.5923676404042435</v>
      </c>
      <c r="F7" s="148">
        <v>0.53113667573946011</v>
      </c>
      <c r="G7" s="260">
        <v>0.56979824191216744</v>
      </c>
      <c r="H7" s="148">
        <v>0.57516527974213072</v>
      </c>
      <c r="I7" s="148">
        <v>0.56328913351680432</v>
      </c>
      <c r="J7" s="148">
        <v>0.5476371562762179</v>
      </c>
      <c r="K7" s="148">
        <v>0.50775939741233289</v>
      </c>
      <c r="L7" s="260">
        <v>0.54703088260200006</v>
      </c>
      <c r="M7" s="148">
        <v>0.56737092189554961</v>
      </c>
      <c r="N7" s="148">
        <v>0.57820581935803472</v>
      </c>
      <c r="O7" s="148">
        <v>0.55808768527999886</v>
      </c>
      <c r="P7" s="148">
        <v>0.5473478425661793</v>
      </c>
      <c r="Q7" s="260">
        <v>0.56242677883326042</v>
      </c>
      <c r="R7" s="148">
        <v>0.55508396383096514</v>
      </c>
      <c r="S7" s="148">
        <v>0.56592627750803348</v>
      </c>
      <c r="T7" s="148">
        <v>0.54417907794664733</v>
      </c>
      <c r="U7" s="148">
        <v>0.55092639867479043</v>
      </c>
      <c r="V7" s="260">
        <v>0.55387847984839711</v>
      </c>
      <c r="W7" s="148">
        <v>0.57119310710056703</v>
      </c>
      <c r="X7" s="148">
        <v>0.57037263571476704</v>
      </c>
      <c r="Y7" s="148">
        <v>0.59994857832852022</v>
      </c>
      <c r="Z7" s="148">
        <v>0.55257893984854978</v>
      </c>
      <c r="AA7" s="260">
        <v>0.5736046489900406</v>
      </c>
      <c r="AB7" s="148">
        <v>0.60749428818094664</v>
      </c>
      <c r="AC7" s="148">
        <v>0.63275150527767277</v>
      </c>
      <c r="AD7" s="148">
        <v>0.71611401052274271</v>
      </c>
      <c r="AE7" s="148">
        <v>0.64</v>
      </c>
      <c r="AF7" s="260">
        <f>AF6/AF4</f>
        <v>0.64748037031241068</v>
      </c>
      <c r="AG7" s="148">
        <f>'P&amp;L (HUF)'!AS33</f>
        <v>0.69901981989067596</v>
      </c>
      <c r="AH7" s="421">
        <f>AH6/AH4</f>
        <v>0.69253355898659485</v>
      </c>
      <c r="AI7" s="410"/>
      <c r="AJ7" s="347"/>
      <c r="AK7" s="347"/>
      <c r="AL7" s="347"/>
      <c r="AM7" s="347"/>
      <c r="AN7" s="347"/>
      <c r="AO7" s="347"/>
      <c r="AP7" s="8"/>
    </row>
    <row r="8" spans="1:42" x14ac:dyDescent="0.35">
      <c r="A8" s="102" t="s">
        <v>71</v>
      </c>
      <c r="B8" s="102" t="s">
        <v>72</v>
      </c>
      <c r="C8" s="147">
        <v>16112</v>
      </c>
      <c r="D8" s="147">
        <v>16364</v>
      </c>
      <c r="E8" s="147">
        <v>14947</v>
      </c>
      <c r="F8" s="147">
        <v>20998</v>
      </c>
      <c r="G8" s="259">
        <v>68421</v>
      </c>
      <c r="H8" s="147">
        <v>18668</v>
      </c>
      <c r="I8" s="147">
        <v>14741</v>
      </c>
      <c r="J8" s="147">
        <v>22679</v>
      </c>
      <c r="K8" s="147">
        <v>23619</v>
      </c>
      <c r="L8" s="259">
        <v>79707</v>
      </c>
      <c r="M8" s="147">
        <v>25606</v>
      </c>
      <c r="N8" s="147">
        <v>32115</v>
      </c>
      <c r="O8" s="147">
        <v>31421</v>
      </c>
      <c r="P8" s="147">
        <v>36303</v>
      </c>
      <c r="Q8" s="259">
        <v>125445</v>
      </c>
      <c r="R8" s="147">
        <v>24297</v>
      </c>
      <c r="S8" s="147">
        <v>35994</v>
      </c>
      <c r="T8" s="147">
        <v>34947</v>
      </c>
      <c r="U8" s="147">
        <v>47295</v>
      </c>
      <c r="V8" s="259">
        <v>142533</v>
      </c>
      <c r="W8" s="147">
        <v>37008</v>
      </c>
      <c r="X8" s="147">
        <v>53280</v>
      </c>
      <c r="Y8" s="147">
        <v>65320</v>
      </c>
      <c r="Z8" s="147">
        <v>50293</v>
      </c>
      <c r="AA8" s="259">
        <v>205901</v>
      </c>
      <c r="AB8" s="147">
        <v>58868</v>
      </c>
      <c r="AC8" s="147">
        <v>52315</v>
      </c>
      <c r="AD8" s="147">
        <v>65005</v>
      </c>
      <c r="AE8" s="147">
        <f>AF8-AB8-AC8-AD8</f>
        <v>59147</v>
      </c>
      <c r="AF8" s="259">
        <v>235335</v>
      </c>
      <c r="AG8" s="430">
        <f>'P&amp;L (HUF)'!AS7+'P&amp;L (HUF)'!AS8+'P&amp;L (HUF)'!AS9+'P&amp;L (HUF)'!AS10+'P&amp;L (HUF)'!AS12+'P&amp;L (HUF)'!AS13</f>
        <v>65025</v>
      </c>
      <c r="AH8" s="411">
        <f>135961-AG8</f>
        <v>70936</v>
      </c>
      <c r="AI8" s="410"/>
      <c r="AJ8" s="347"/>
      <c r="AK8" s="347"/>
      <c r="AL8" s="347"/>
      <c r="AM8" s="347"/>
      <c r="AN8" s="347"/>
      <c r="AO8" s="347"/>
      <c r="AP8" s="8"/>
    </row>
    <row r="9" spans="1:42" x14ac:dyDescent="0.35">
      <c r="A9" s="105" t="s">
        <v>73</v>
      </c>
      <c r="B9" s="105" t="s">
        <v>74</v>
      </c>
      <c r="C9" s="148">
        <v>0.14140155338101715</v>
      </c>
      <c r="D9" s="148">
        <v>0.14811060324930986</v>
      </c>
      <c r="E9" s="148">
        <v>0.15030418824475841</v>
      </c>
      <c r="F9" s="148">
        <v>0.17266814133822334</v>
      </c>
      <c r="G9" s="260">
        <v>0.15358800765010641</v>
      </c>
      <c r="H9" s="148">
        <v>0.1535045883629905</v>
      </c>
      <c r="I9" s="148">
        <v>0.12293386706696689</v>
      </c>
      <c r="J9" s="148">
        <v>0.17782290629385983</v>
      </c>
      <c r="K9" s="148">
        <v>0.17024543193858796</v>
      </c>
      <c r="L9" s="260">
        <v>0.15696719535874784</v>
      </c>
      <c r="M9" s="148">
        <v>0.18105581717647393</v>
      </c>
      <c r="N9" s="148">
        <v>0.23396179680328705</v>
      </c>
      <c r="O9" s="148">
        <v>0.22818943041605844</v>
      </c>
      <c r="P9" s="148">
        <v>0.24139719523629036</v>
      </c>
      <c r="Q9" s="260">
        <v>0.22133082558188774</v>
      </c>
      <c r="R9" s="148">
        <v>0.1724487912899059</v>
      </c>
      <c r="S9" s="148">
        <v>0.23086544073786633</v>
      </c>
      <c r="T9" s="148">
        <v>0.22186035881613531</v>
      </c>
      <c r="U9" s="148">
        <v>0.26830389053405496</v>
      </c>
      <c r="V9" s="260">
        <v>0.22602938494596372</v>
      </c>
      <c r="W9" s="148">
        <v>0.22021099983934023</v>
      </c>
      <c r="X9" s="148">
        <v>0.27617235892039832</v>
      </c>
      <c r="Y9" s="148">
        <v>0.29989853402324074</v>
      </c>
      <c r="Z9" s="148">
        <v>0.22455440062866125</v>
      </c>
      <c r="AA9" s="260">
        <v>0.25649295239518904</v>
      </c>
      <c r="AB9" s="148">
        <v>0.2807877778996723</v>
      </c>
      <c r="AC9" s="148">
        <v>0.25671915714264681</v>
      </c>
      <c r="AD9" s="148">
        <v>0.34477363374066533</v>
      </c>
      <c r="AE9" s="148">
        <f>AE8/AE4</f>
        <v>0.29110927364183131</v>
      </c>
      <c r="AF9" s="260">
        <f>AF8/AF4</f>
        <v>0.29228424731543373</v>
      </c>
      <c r="AG9" s="148">
        <f>AG8/AG4</f>
        <v>0.31963997797789923</v>
      </c>
      <c r="AH9" s="448">
        <f>AH8/AH4</f>
        <v>0.32801106070905062</v>
      </c>
      <c r="AI9" s="347"/>
      <c r="AJ9" s="347"/>
      <c r="AK9" s="347"/>
      <c r="AL9" s="347"/>
      <c r="AM9" s="347"/>
      <c r="AN9" s="347"/>
      <c r="AO9" s="347"/>
      <c r="AP9" s="8"/>
    </row>
    <row r="10" spans="1:42" x14ac:dyDescent="0.35">
      <c r="A10" s="102" t="s">
        <v>75</v>
      </c>
      <c r="B10" s="102" t="s">
        <v>76</v>
      </c>
      <c r="C10" s="8">
        <v>14504</v>
      </c>
      <c r="D10" s="8">
        <v>24309</v>
      </c>
      <c r="E10" s="8">
        <v>8839</v>
      </c>
      <c r="F10" s="8">
        <v>-12304</v>
      </c>
      <c r="G10" s="149">
        <v>35348</v>
      </c>
      <c r="H10" s="8">
        <v>22013</v>
      </c>
      <c r="I10" s="8">
        <v>17523</v>
      </c>
      <c r="J10" s="8">
        <v>22219</v>
      </c>
      <c r="K10" s="8">
        <v>-14620</v>
      </c>
      <c r="L10" s="149">
        <v>47135</v>
      </c>
      <c r="M10" s="8">
        <v>29001</v>
      </c>
      <c r="N10" s="8">
        <v>31530</v>
      </c>
      <c r="O10" s="8">
        <v>22571</v>
      </c>
      <c r="P10" s="8">
        <v>21581</v>
      </c>
      <c r="Q10" s="149">
        <v>104683</v>
      </c>
      <c r="R10" s="8">
        <v>26888</v>
      </c>
      <c r="S10" s="8">
        <v>28027</v>
      </c>
      <c r="T10" s="8">
        <v>38193</v>
      </c>
      <c r="U10" s="8">
        <v>46518</v>
      </c>
      <c r="V10" s="149">
        <v>139626</v>
      </c>
      <c r="W10" s="8">
        <v>37054</v>
      </c>
      <c r="X10" s="8">
        <v>76532</v>
      </c>
      <c r="Y10" s="8">
        <v>82417</v>
      </c>
      <c r="Z10" s="8">
        <v>-26927</v>
      </c>
      <c r="AA10" s="259">
        <v>169076</v>
      </c>
      <c r="AB10" s="8">
        <v>39193</v>
      </c>
      <c r="AC10" s="8">
        <v>28743</v>
      </c>
      <c r="AD10" s="8">
        <v>54554</v>
      </c>
      <c r="AE10" s="8">
        <v>36360</v>
      </c>
      <c r="AF10" s="149">
        <v>158850</v>
      </c>
      <c r="AG10" s="8">
        <f>'P&amp;L (HUF)'!AS25</f>
        <v>68217</v>
      </c>
      <c r="AH10" s="347">
        <f>138215-AG10</f>
        <v>69998</v>
      </c>
      <c r="AJ10" s="8"/>
      <c r="AK10" s="8"/>
      <c r="AL10" s="8"/>
      <c r="AM10" s="8"/>
      <c r="AN10" s="8"/>
      <c r="AO10" s="8"/>
      <c r="AP10" s="8"/>
    </row>
    <row r="11" spans="1:42" x14ac:dyDescent="0.35">
      <c r="A11" s="105" t="s">
        <v>77</v>
      </c>
      <c r="B11" s="105" t="s">
        <v>78</v>
      </c>
      <c r="C11" s="179">
        <f t="shared" ref="C11:AD11" si="0">C10/C4</f>
        <v>0.12728948176751942</v>
      </c>
      <c r="D11" s="179">
        <f t="shared" si="0"/>
        <v>0.22002081730551659</v>
      </c>
      <c r="E11" s="179">
        <f t="shared" si="0"/>
        <v>8.8883302327919952E-2</v>
      </c>
      <c r="F11" s="179">
        <f t="shared" si="0"/>
        <v>-0.10117672211760642</v>
      </c>
      <c r="G11" s="261">
        <f t="shared" si="0"/>
        <v>7.9347406416392055E-2</v>
      </c>
      <c r="H11" s="179">
        <f t="shared" si="0"/>
        <v>0.18101009768772819</v>
      </c>
      <c r="I11" s="179">
        <f t="shared" si="0"/>
        <v>0.14613460095071304</v>
      </c>
      <c r="J11" s="179">
        <f t="shared" si="0"/>
        <v>0.17421610983479305</v>
      </c>
      <c r="K11" s="179">
        <f t="shared" si="0"/>
        <v>-0.10538076188416766</v>
      </c>
      <c r="L11" s="261">
        <f t="shared" si="0"/>
        <v>9.282307392367771E-2</v>
      </c>
      <c r="M11" s="179">
        <f t="shared" si="0"/>
        <v>0.20506130414492385</v>
      </c>
      <c r="N11" s="179">
        <f t="shared" si="0"/>
        <v>0.22969999854297496</v>
      </c>
      <c r="O11" s="179">
        <f t="shared" si="0"/>
        <v>0.16391787765891777</v>
      </c>
      <c r="P11" s="179">
        <f t="shared" si="0"/>
        <v>0.14350309534733721</v>
      </c>
      <c r="Q11" s="261">
        <f t="shared" si="0"/>
        <v>0.18469906982652759</v>
      </c>
      <c r="R11" s="179">
        <f t="shared" si="0"/>
        <v>0.19083850270416058</v>
      </c>
      <c r="S11" s="179">
        <f t="shared" si="0"/>
        <v>0.17976511939657108</v>
      </c>
      <c r="T11" s="179">
        <f t="shared" si="0"/>
        <v>0.24246752752066431</v>
      </c>
      <c r="U11" s="179">
        <f t="shared" si="0"/>
        <v>0.26389598012185572</v>
      </c>
      <c r="V11" s="261">
        <f t="shared" si="0"/>
        <v>0.22141945305624053</v>
      </c>
      <c r="W11" s="179">
        <f t="shared" si="0"/>
        <v>0.22048471649499873</v>
      </c>
      <c r="X11" s="179">
        <f t="shared" si="0"/>
        <v>0.39669712786966821</v>
      </c>
      <c r="Y11" s="179">
        <f t="shared" si="0"/>
        <v>0.37839463378128341</v>
      </c>
      <c r="Z11" s="179">
        <f t="shared" si="0"/>
        <v>-0.12022699671381626</v>
      </c>
      <c r="AA11" s="261">
        <f t="shared" si="0"/>
        <v>0.21061967848222682</v>
      </c>
      <c r="AB11" s="179">
        <f t="shared" si="0"/>
        <v>0.18694223311853395</v>
      </c>
      <c r="AC11" s="179">
        <f t="shared" si="0"/>
        <v>0.14104709421296183</v>
      </c>
      <c r="AD11" s="179">
        <f t="shared" si="0"/>
        <v>0.2893436014935506</v>
      </c>
      <c r="AE11" s="222">
        <v>0.17899999999999999</v>
      </c>
      <c r="AF11" s="261">
        <f>AF10/AF4</f>
        <v>0.19729046969663097</v>
      </c>
      <c r="AG11" s="179">
        <f>AG10/AG4</f>
        <v>0.3353307247630658</v>
      </c>
      <c r="AH11" s="222">
        <f>AH10/AH4</f>
        <v>0.32367370908300619</v>
      </c>
      <c r="AJ11" s="8"/>
      <c r="AK11" s="8"/>
      <c r="AL11" s="8"/>
      <c r="AM11" s="8"/>
      <c r="AN11" s="8"/>
      <c r="AO11" s="8"/>
      <c r="AP11" s="8"/>
    </row>
    <row r="12" spans="1:42" x14ac:dyDescent="0.35">
      <c r="A12" s="105"/>
      <c r="B12" s="105"/>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J12" s="8"/>
      <c r="AK12" s="8"/>
      <c r="AL12" s="8"/>
      <c r="AM12" s="8"/>
      <c r="AN12" s="8"/>
      <c r="AO12" s="8"/>
      <c r="AP12" s="8"/>
    </row>
    <row r="13" spans="1:42" ht="15" thickBot="1" x14ac:dyDescent="0.4">
      <c r="A13" s="105"/>
      <c r="B13" s="105"/>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8"/>
      <c r="AH13" s="222"/>
      <c r="AJ13" s="8"/>
      <c r="AK13" s="8"/>
      <c r="AL13" s="8"/>
      <c r="AM13" s="8"/>
      <c r="AN13" s="8"/>
      <c r="AO13" s="8"/>
      <c r="AP13" s="8"/>
    </row>
    <row r="14" spans="1:42" ht="15" thickBot="1" x14ac:dyDescent="0.4">
      <c r="A14" s="475"/>
      <c r="B14" s="475"/>
      <c r="C14" s="1" t="s">
        <v>79</v>
      </c>
      <c r="D14" s="1" t="s">
        <v>80</v>
      </c>
      <c r="E14" s="1" t="s">
        <v>81</v>
      </c>
      <c r="F14" s="64" t="s">
        <v>82</v>
      </c>
      <c r="G14" s="64"/>
      <c r="H14" s="1" t="s">
        <v>83</v>
      </c>
      <c r="I14" s="1" t="s">
        <v>84</v>
      </c>
      <c r="J14" s="1" t="s">
        <v>85</v>
      </c>
      <c r="K14" s="64" t="s">
        <v>86</v>
      </c>
      <c r="L14" s="64"/>
      <c r="M14" s="1" t="s">
        <v>87</v>
      </c>
      <c r="N14" s="1" t="s">
        <v>88</v>
      </c>
      <c r="O14" s="1" t="s">
        <v>89</v>
      </c>
      <c r="P14" s="64" t="s">
        <v>90</v>
      </c>
      <c r="Q14" s="64"/>
      <c r="R14" s="1" t="s">
        <v>91</v>
      </c>
      <c r="S14" s="1" t="s">
        <v>92</v>
      </c>
      <c r="T14" s="1" t="s">
        <v>93</v>
      </c>
      <c r="U14" s="64" t="s">
        <v>94</v>
      </c>
      <c r="V14" s="64"/>
      <c r="W14" s="1" t="s">
        <v>95</v>
      </c>
      <c r="X14" s="1" t="s">
        <v>96</v>
      </c>
      <c r="Y14" s="1" t="s">
        <v>97</v>
      </c>
      <c r="Z14" s="64" t="s">
        <v>98</v>
      </c>
      <c r="AA14" s="64"/>
      <c r="AB14" s="1" t="s">
        <v>99</v>
      </c>
      <c r="AC14" s="1" t="s">
        <v>100</v>
      </c>
      <c r="AD14" s="1" t="s">
        <v>101</v>
      </c>
      <c r="AE14" s="64" t="s">
        <v>102</v>
      </c>
      <c r="AF14" s="64"/>
      <c r="AG14" s="1" t="s">
        <v>1101</v>
      </c>
      <c r="AH14" s="1" t="s">
        <v>1165</v>
      </c>
      <c r="AJ14" s="8"/>
      <c r="AK14" s="8"/>
      <c r="AL14" s="8"/>
      <c r="AM14" s="8"/>
      <c r="AN14" s="8"/>
      <c r="AO14" s="8"/>
      <c r="AP14" s="8"/>
    </row>
    <row r="15" spans="1:42" ht="15.5" thickTop="1" thickBot="1" x14ac:dyDescent="0.4">
      <c r="A15" s="476"/>
      <c r="B15" s="476"/>
      <c r="C15" s="2" t="s">
        <v>62</v>
      </c>
      <c r="D15" s="2" t="s">
        <v>62</v>
      </c>
      <c r="E15" s="2" t="s">
        <v>62</v>
      </c>
      <c r="F15" s="2" t="s">
        <v>62</v>
      </c>
      <c r="G15" s="2"/>
      <c r="H15" s="2" t="s">
        <v>62</v>
      </c>
      <c r="I15" s="2" t="s">
        <v>62</v>
      </c>
      <c r="J15" s="2" t="s">
        <v>62</v>
      </c>
      <c r="K15" s="2" t="s">
        <v>62</v>
      </c>
      <c r="L15" s="2"/>
      <c r="M15" s="2" t="s">
        <v>62</v>
      </c>
      <c r="N15" s="2" t="s">
        <v>62</v>
      </c>
      <c r="O15" s="2" t="s">
        <v>62</v>
      </c>
      <c r="P15" s="2" t="s">
        <v>62</v>
      </c>
      <c r="Q15" s="2"/>
      <c r="R15" s="2" t="s">
        <v>62</v>
      </c>
      <c r="S15" s="2" t="s">
        <v>62</v>
      </c>
      <c r="T15" s="2" t="s">
        <v>62</v>
      </c>
      <c r="U15" s="2" t="s">
        <v>62</v>
      </c>
      <c r="V15" s="2"/>
      <c r="W15" s="2" t="s">
        <v>62</v>
      </c>
      <c r="X15" s="2" t="s">
        <v>62</v>
      </c>
      <c r="Y15" s="2" t="s">
        <v>62</v>
      </c>
      <c r="Z15" s="2" t="s">
        <v>62</v>
      </c>
      <c r="AA15" s="2"/>
      <c r="AB15" s="2" t="s">
        <v>62</v>
      </c>
      <c r="AC15" s="2" t="s">
        <v>62</v>
      </c>
      <c r="AD15" s="2" t="s">
        <v>62</v>
      </c>
      <c r="AE15" s="2" t="s">
        <v>62</v>
      </c>
      <c r="AF15" s="2"/>
      <c r="AG15" s="2" t="s">
        <v>62</v>
      </c>
      <c r="AH15" s="2" t="s">
        <v>62</v>
      </c>
      <c r="AJ15" s="8"/>
      <c r="AK15" s="8"/>
      <c r="AL15" s="8"/>
      <c r="AM15" s="8"/>
      <c r="AN15" s="8"/>
      <c r="AO15" s="8"/>
      <c r="AP15" s="8"/>
    </row>
    <row r="16" spans="1:42" ht="15" thickTop="1" x14ac:dyDescent="0.35">
      <c r="A16" s="102" t="s">
        <v>103</v>
      </c>
      <c r="B16" s="102" t="s">
        <v>104</v>
      </c>
      <c r="C16" s="8">
        <v>-4835</v>
      </c>
      <c r="D16" s="8">
        <v>-13916</v>
      </c>
      <c r="E16" s="8">
        <v>-23808</v>
      </c>
      <c r="F16" s="8">
        <v>-39073</v>
      </c>
      <c r="G16" s="259"/>
      <c r="H16" s="8">
        <v>-4087</v>
      </c>
      <c r="I16" s="8">
        <v>-15404</v>
      </c>
      <c r="J16" s="8">
        <v>-21784</v>
      </c>
      <c r="K16" s="8">
        <v>-39507</v>
      </c>
      <c r="L16" s="259"/>
      <c r="M16" s="8">
        <v>-3897</v>
      </c>
      <c r="N16" s="8">
        <v>-11339</v>
      </c>
      <c r="O16" s="8">
        <v>-21448</v>
      </c>
      <c r="P16" s="8">
        <v>-36903</v>
      </c>
      <c r="Q16" s="259"/>
      <c r="R16" s="8">
        <v>-4529</v>
      </c>
      <c r="S16" s="8">
        <v>-14043</v>
      </c>
      <c r="T16" s="8">
        <v>-26982</v>
      </c>
      <c r="U16" s="8">
        <v>-46127</v>
      </c>
      <c r="V16" s="259"/>
      <c r="W16" s="8">
        <v>-7314</v>
      </c>
      <c r="X16" s="8">
        <v>-19737</v>
      </c>
      <c r="Y16" s="8">
        <v>-37818</v>
      </c>
      <c r="Z16" s="8">
        <v>-59231</v>
      </c>
      <c r="AA16" s="259"/>
      <c r="AB16" s="8">
        <f>CF!W26</f>
        <v>-9211</v>
      </c>
      <c r="AC16" s="8">
        <f>CF!X26</f>
        <v>-23065</v>
      </c>
      <c r="AD16" s="8">
        <f>CF!Y26</f>
        <v>-41761</v>
      </c>
      <c r="AE16" s="8">
        <f>CF!Z26</f>
        <v>-61960</v>
      </c>
      <c r="AF16" s="259"/>
      <c r="AG16" s="8">
        <f>CF!AA26</f>
        <v>-6912</v>
      </c>
      <c r="AH16" s="8">
        <f>CF!AB26</f>
        <v>-19709</v>
      </c>
      <c r="AI16" s="422"/>
      <c r="AJ16" s="8"/>
      <c r="AK16" s="8"/>
      <c r="AL16" s="8"/>
      <c r="AM16" s="8"/>
      <c r="AN16" s="8"/>
      <c r="AO16" s="8"/>
      <c r="AP16" s="8"/>
    </row>
    <row r="17" spans="1:42" x14ac:dyDescent="0.35">
      <c r="A17" s="102" t="s">
        <v>1163</v>
      </c>
      <c r="B17" s="102" t="s">
        <v>1164</v>
      </c>
      <c r="C17" s="8">
        <v>-440</v>
      </c>
      <c r="D17" s="8">
        <v>-2409</v>
      </c>
      <c r="E17" s="8">
        <v>-16411</v>
      </c>
      <c r="F17" s="8">
        <v>-18982</v>
      </c>
      <c r="G17" s="259"/>
      <c r="H17" s="8">
        <v>-1647</v>
      </c>
      <c r="I17" s="8">
        <v>0</v>
      </c>
      <c r="J17" s="8">
        <v>-7975</v>
      </c>
      <c r="K17" s="8">
        <v>-18578</v>
      </c>
      <c r="L17" s="259"/>
      <c r="M17" s="8">
        <v>-15187</v>
      </c>
      <c r="N17" s="8">
        <v>-22358</v>
      </c>
      <c r="O17" s="8">
        <v>-24817</v>
      </c>
      <c r="P17" s="8">
        <v>-29735</v>
      </c>
      <c r="Q17" s="259"/>
      <c r="R17" s="8">
        <v>-81446</v>
      </c>
      <c r="S17" s="8">
        <v>-87635</v>
      </c>
      <c r="T17" s="8">
        <v>-93503</v>
      </c>
      <c r="U17" s="8">
        <v>-97170</v>
      </c>
      <c r="V17" s="259"/>
      <c r="W17" s="8">
        <v>-2187</v>
      </c>
      <c r="X17" s="8">
        <v>-4427</v>
      </c>
      <c r="Y17" s="8">
        <v>-5778</v>
      </c>
      <c r="Z17" s="8">
        <v>-12348</v>
      </c>
      <c r="AA17" s="259"/>
      <c r="AB17" s="347">
        <f>CF!W27+CF!W35</f>
        <v>-36321</v>
      </c>
      <c r="AC17" s="347">
        <f>CF!X27+CF!X35</f>
        <v>-38202</v>
      </c>
      <c r="AD17" s="347">
        <f>CF!Y27+CF!Y35</f>
        <v>-51461</v>
      </c>
      <c r="AE17" s="347">
        <f>CF!Z27+CF!Z35</f>
        <v>-57810</v>
      </c>
      <c r="AF17" s="259"/>
      <c r="AG17" s="347">
        <f>CF!AA27+CF!AA35</f>
        <v>-684</v>
      </c>
      <c r="AH17" s="347">
        <f>CF!AB27+CF!AB35</f>
        <v>-25768</v>
      </c>
      <c r="AI17" s="423" t="s">
        <v>1175</v>
      </c>
      <c r="AJ17" s="8"/>
      <c r="AK17" s="8"/>
      <c r="AL17" s="8"/>
      <c r="AM17" s="8"/>
      <c r="AN17" s="8"/>
      <c r="AO17" s="8"/>
      <c r="AP17" s="8"/>
    </row>
    <row r="18" spans="1:42" x14ac:dyDescent="0.35">
      <c r="A18" s="102" t="s">
        <v>105</v>
      </c>
      <c r="B18" s="102" t="s">
        <v>106</v>
      </c>
      <c r="C18" s="18">
        <v>31578</v>
      </c>
      <c r="D18" s="18">
        <v>50826</v>
      </c>
      <c r="E18" s="18">
        <v>72983</v>
      </c>
      <c r="F18" s="18">
        <v>63520</v>
      </c>
      <c r="G18" s="259"/>
      <c r="H18" s="18">
        <v>16130</v>
      </c>
      <c r="I18" s="18">
        <v>31397</v>
      </c>
      <c r="J18" s="18">
        <v>47116</v>
      </c>
      <c r="K18" s="18">
        <v>59621</v>
      </c>
      <c r="L18" s="259"/>
      <c r="M18" s="18">
        <v>36057</v>
      </c>
      <c r="N18" s="18">
        <v>58184</v>
      </c>
      <c r="O18" s="18">
        <v>92501</v>
      </c>
      <c r="P18" s="18">
        <v>97532</v>
      </c>
      <c r="Q18" s="259"/>
      <c r="R18" s="18">
        <v>27170</v>
      </c>
      <c r="S18" s="18">
        <v>41881</v>
      </c>
      <c r="T18" s="18">
        <v>72456</v>
      </c>
      <c r="U18" s="18">
        <v>96727</v>
      </c>
      <c r="V18" s="259"/>
      <c r="W18" s="18">
        <v>45275</v>
      </c>
      <c r="X18" s="18">
        <v>71531</v>
      </c>
      <c r="Y18" s="18">
        <v>103822</v>
      </c>
      <c r="Z18" s="18">
        <v>140183</v>
      </c>
      <c r="AA18" s="259"/>
      <c r="AB18" s="352">
        <v>39053</v>
      </c>
      <c r="AC18" s="18">
        <v>41536</v>
      </c>
      <c r="AD18" s="18">
        <v>68700</v>
      </c>
      <c r="AE18" s="18">
        <v>86554</v>
      </c>
      <c r="AF18" s="259"/>
      <c r="AG18" s="352">
        <f>CF!AA24+CF!AA33+CF!AA26</f>
        <v>52683</v>
      </c>
      <c r="AH18" s="352">
        <f>CF!AB24+CF!AB33+CF!AB26</f>
        <v>111353</v>
      </c>
      <c r="AI18"/>
      <c r="AJ18" s="8"/>
      <c r="AK18" s="8"/>
      <c r="AL18" s="8"/>
      <c r="AM18" s="8"/>
      <c r="AN18" s="8"/>
      <c r="AO18" s="8"/>
      <c r="AP18" s="8"/>
    </row>
    <row r="19" spans="1:42" x14ac:dyDescent="0.35">
      <c r="A19" s="102" t="s">
        <v>107</v>
      </c>
      <c r="B19" s="102" t="s">
        <v>108</v>
      </c>
      <c r="C19" s="169">
        <v>5.1418920512155443E-3</v>
      </c>
      <c r="D19" s="169">
        <v>2.7541225906798087E-2</v>
      </c>
      <c r="E19" s="169">
        <v>1.7501513910162789E-2</v>
      </c>
      <c r="F19" s="169">
        <v>5.2779094269735836E-2</v>
      </c>
      <c r="G19" s="259"/>
      <c r="H19" s="169">
        <v>6.1104320963428514E-2</v>
      </c>
      <c r="I19" s="169">
        <v>5.1547416260642819E-2</v>
      </c>
      <c r="J19" s="169">
        <v>6.7309625079398264E-2</v>
      </c>
      <c r="K19" s="169">
        <v>6.6811703567383529E-2</v>
      </c>
      <c r="L19" s="259"/>
      <c r="M19" s="169">
        <v>7.4047388845476333E-2</v>
      </c>
      <c r="N19" s="169">
        <v>9.0263920035304271E-2</v>
      </c>
      <c r="O19" s="169">
        <v>8.875492981797499E-2</v>
      </c>
      <c r="P19" s="169">
        <v>0.13029477638987688</v>
      </c>
      <c r="Q19" s="259"/>
      <c r="R19" s="169">
        <v>0.1233441369567024</v>
      </c>
      <c r="S19" s="169">
        <v>0.12138792626037161</v>
      </c>
      <c r="T19" s="169">
        <v>0.13296787031532947</v>
      </c>
      <c r="U19" s="169">
        <v>0.15295410076899577</v>
      </c>
      <c r="V19" s="259"/>
      <c r="W19" s="169">
        <v>0.15951909607173714</v>
      </c>
      <c r="X19" s="169">
        <v>0.19695721787070042</v>
      </c>
      <c r="Y19" s="169">
        <v>0.22076141888881962</v>
      </c>
      <c r="Z19" s="169">
        <v>0.159</v>
      </c>
      <c r="AA19" s="259"/>
      <c r="AB19" s="426">
        <f>AB30/BS!W32</f>
        <v>0.15461561988377742</v>
      </c>
      <c r="AC19" s="426">
        <f>AC30/BS!X32</f>
        <v>0.11729109176104995</v>
      </c>
      <c r="AD19" s="426">
        <f>AD30/BS!Y32</f>
        <v>8.8805155049661924E-2</v>
      </c>
      <c r="AE19" s="426">
        <f>AE30/BS!Z32</f>
        <v>0.14060359834444996</v>
      </c>
      <c r="AF19" s="259"/>
      <c r="AG19" s="380">
        <f>AG30/BS!AA32</f>
        <v>0.15876071926240287</v>
      </c>
      <c r="AH19" s="426">
        <f>AH30/BS!AB32</f>
        <v>0.19639452274306074</v>
      </c>
      <c r="AI19" s="466"/>
    </row>
    <row r="20" spans="1:42" x14ac:dyDescent="0.35">
      <c r="A20" s="102" t="s">
        <v>1150</v>
      </c>
      <c r="B20" s="102" t="s">
        <v>109</v>
      </c>
      <c r="C20" s="170">
        <v>184.19621108830665</v>
      </c>
      <c r="D20" s="170">
        <v>198.32007219903954</v>
      </c>
      <c r="E20" s="170">
        <v>191.87444207365309</v>
      </c>
      <c r="F20" s="170">
        <v>178.33403907901891</v>
      </c>
      <c r="G20" s="259"/>
      <c r="H20" s="170">
        <v>194.8234726827971</v>
      </c>
      <c r="I20" s="170">
        <v>193.20477628398453</v>
      </c>
      <c r="J20" s="170">
        <v>196.35286620708467</v>
      </c>
      <c r="K20" s="170">
        <v>170.07130516273202</v>
      </c>
      <c r="L20" s="259"/>
      <c r="M20" s="170">
        <v>169.82292692720063</v>
      </c>
      <c r="N20" s="170">
        <v>193.14990354951766</v>
      </c>
      <c r="O20" s="170">
        <v>185.86724624326757</v>
      </c>
      <c r="P20" s="170">
        <v>163.38863166820147</v>
      </c>
      <c r="Q20" s="259"/>
      <c r="R20" s="170">
        <v>183.7274310735952</v>
      </c>
      <c r="S20" s="170">
        <v>189.27455962307894</v>
      </c>
      <c r="T20" s="170">
        <v>194.10637687332013</v>
      </c>
      <c r="U20" s="170">
        <v>174.03470188279513</v>
      </c>
      <c r="V20" s="259"/>
      <c r="W20" s="170">
        <v>182.30853621894769</v>
      </c>
      <c r="X20" s="170">
        <v>212.97665333395014</v>
      </c>
      <c r="Y20" s="170">
        <v>244.83509936440288</v>
      </c>
      <c r="Z20" s="170">
        <v>194.01042822898864</v>
      </c>
      <c r="AA20" s="259"/>
      <c r="AB20" s="170">
        <f>AB21+AB22-AB23</f>
        <v>196.84678100331865</v>
      </c>
      <c r="AC20" s="170">
        <f>AC21+AC22-AC23</f>
        <v>209.90990977453563</v>
      </c>
      <c r="AD20" s="170">
        <f t="shared" ref="AD20:AE20" si="1">AD21+AD22-AD23</f>
        <v>242.61012768359905</v>
      </c>
      <c r="AE20" s="170">
        <f t="shared" si="1"/>
        <v>265.57577525851559</v>
      </c>
      <c r="AF20" s="416"/>
      <c r="AG20" s="170">
        <f>AG21+AG22-AG23</f>
        <v>293.62759271857027</v>
      </c>
      <c r="AH20" s="429">
        <f>AH21+AH22-AH23</f>
        <v>329.60514491339262</v>
      </c>
      <c r="AI20" s="347"/>
    </row>
    <row r="21" spans="1:42" x14ac:dyDescent="0.35">
      <c r="A21" s="356" t="s">
        <v>110</v>
      </c>
      <c r="B21" s="105" t="s">
        <v>111</v>
      </c>
      <c r="C21" s="170">
        <v>165.87993591068846</v>
      </c>
      <c r="D21" s="170">
        <v>188.31871127501515</v>
      </c>
      <c r="E21" s="170">
        <v>191.14716259377553</v>
      </c>
      <c r="F21" s="170">
        <v>176.52547900317248</v>
      </c>
      <c r="G21" s="259"/>
      <c r="H21" s="170">
        <v>175.71078099293527</v>
      </c>
      <c r="I21" s="170">
        <v>183.7841364593246</v>
      </c>
      <c r="J21" s="170">
        <v>175.51423258143504</v>
      </c>
      <c r="K21" s="170">
        <v>157.09051583592378</v>
      </c>
      <c r="L21" s="259"/>
      <c r="M21" s="170">
        <v>157.41202909209773</v>
      </c>
      <c r="N21" s="170">
        <v>173.06412334254259</v>
      </c>
      <c r="O21" s="170">
        <v>171.88468763373032</v>
      </c>
      <c r="P21" s="170">
        <v>161.97807714329491</v>
      </c>
      <c r="Q21" s="259"/>
      <c r="R21" s="170">
        <v>173.11385317295728</v>
      </c>
      <c r="S21" s="170">
        <v>173.94351881683315</v>
      </c>
      <c r="T21" s="170">
        <v>173.00812590892454</v>
      </c>
      <c r="U21" s="170">
        <v>170.41818627764624</v>
      </c>
      <c r="V21" s="259"/>
      <c r="W21" s="170">
        <v>176.10424414409417</v>
      </c>
      <c r="X21" s="170">
        <v>196.6749059367921</v>
      </c>
      <c r="Y21" s="170">
        <v>192.48091047285436</v>
      </c>
      <c r="Z21" s="170">
        <v>163.50787779988374</v>
      </c>
      <c r="AA21" s="259"/>
      <c r="AB21" s="170">
        <f>-(BS!W20+BS!V20)/2000/AB29</f>
        <v>164.52681714640713</v>
      </c>
      <c r="AC21" s="170">
        <f>-(BS!X20+BS!W20)/2000/AC29</f>
        <v>175.84203024347477</v>
      </c>
      <c r="AD21" s="170">
        <f>-(BS!Y20+BS!X20)/2000/AD29</f>
        <v>204.76138125599141</v>
      </c>
      <c r="AE21" s="170">
        <f>-(BS!Z20+BS!Y20)/2000/AE29</f>
        <v>230.90042947638406</v>
      </c>
      <c r="AF21" s="416"/>
      <c r="AG21" s="428">
        <f>-(BS!AA20+BS!Z20)/2000/AG29</f>
        <v>259.57805786743694</v>
      </c>
      <c r="AH21" s="425">
        <f>-(BS!AB20+BS!AA20)/2000/AH29</f>
        <v>288.16661557146057</v>
      </c>
      <c r="AI21" s="347"/>
    </row>
    <row r="22" spans="1:42" x14ac:dyDescent="0.35">
      <c r="A22" s="356" t="s">
        <v>112</v>
      </c>
      <c r="B22" s="105" t="s">
        <v>113</v>
      </c>
      <c r="C22" s="170">
        <v>92.770766597920058</v>
      </c>
      <c r="D22" s="170">
        <v>99.392282671657071</v>
      </c>
      <c r="E22" s="170">
        <v>97.939741412582023</v>
      </c>
      <c r="F22" s="170">
        <v>105.69894766141995</v>
      </c>
      <c r="G22" s="259"/>
      <c r="H22" s="170">
        <v>102.49080066111897</v>
      </c>
      <c r="I22" s="170">
        <v>103.59766398092101</v>
      </c>
      <c r="J22" s="170">
        <v>112.64383879000376</v>
      </c>
      <c r="K22" s="170">
        <v>111.00070107169442</v>
      </c>
      <c r="L22" s="259"/>
      <c r="M22" s="170">
        <v>95.346462107391872</v>
      </c>
      <c r="N22" s="170">
        <v>101.80871715011554</v>
      </c>
      <c r="O22" s="170">
        <v>95.356139331250347</v>
      </c>
      <c r="P22" s="170">
        <v>98.306879613815681</v>
      </c>
      <c r="Q22" s="259"/>
      <c r="R22" s="170">
        <v>88.178843669709138</v>
      </c>
      <c r="S22" s="170">
        <v>96.921400727081604</v>
      </c>
      <c r="T22" s="170">
        <v>106.00920109349997</v>
      </c>
      <c r="U22" s="170">
        <v>106.94249082216001</v>
      </c>
      <c r="V22" s="259"/>
      <c r="W22" s="170">
        <v>94.725554424986754</v>
      </c>
      <c r="X22" s="170">
        <v>114.05971937503462</v>
      </c>
      <c r="Y22" s="170">
        <v>98.135052273116003</v>
      </c>
      <c r="Z22" s="170">
        <v>79.652484257338784</v>
      </c>
      <c r="AA22" s="259"/>
      <c r="AB22" s="170">
        <f>(BS!W22+BS!V22)/2000/AB27</f>
        <v>74.669829253473978</v>
      </c>
      <c r="AC22" s="170">
        <f>(BS!X22+BS!W22)/2000/AC27</f>
        <v>75.271319007823791</v>
      </c>
      <c r="AD22" s="170">
        <f>(BS!Y22+BS!X22)/2000/AD27</f>
        <v>85.611588138720606</v>
      </c>
      <c r="AE22" s="170">
        <f>(BS!Z22+BS!Y22)/2000/AE27</f>
        <v>92.927537203877989</v>
      </c>
      <c r="AF22" s="416"/>
      <c r="AG22" s="170">
        <f>(BS!AA22+BS!Z22)/2000/AG27</f>
        <v>95.084972281919605</v>
      </c>
      <c r="AH22" s="427">
        <f>(BS!AA22+BS!AB22)/2000/AH27</f>
        <v>100.18309065028377</v>
      </c>
      <c r="AI22" s="347"/>
    </row>
    <row r="23" spans="1:42" x14ac:dyDescent="0.35">
      <c r="A23" s="356" t="s">
        <v>114</v>
      </c>
      <c r="B23" s="105" t="s">
        <v>115</v>
      </c>
      <c r="C23" s="170">
        <v>74.454491420301835</v>
      </c>
      <c r="D23" s="170">
        <v>89.39092174763266</v>
      </c>
      <c r="E23" s="170">
        <v>97.212461932704457</v>
      </c>
      <c r="F23" s="170">
        <v>103.89038758557355</v>
      </c>
      <c r="G23" s="259"/>
      <c r="H23" s="170">
        <v>83.378108971257134</v>
      </c>
      <c r="I23" s="170">
        <v>94.177024156261098</v>
      </c>
      <c r="J23" s="170">
        <v>91.805205164354092</v>
      </c>
      <c r="K23" s="170">
        <v>98.019911744886215</v>
      </c>
      <c r="L23" s="259"/>
      <c r="M23" s="170">
        <v>82.935564272288957</v>
      </c>
      <c r="N23" s="170">
        <v>81.722936943140496</v>
      </c>
      <c r="O23" s="170">
        <v>81.373580721713083</v>
      </c>
      <c r="P23" s="170">
        <v>96.896325088909137</v>
      </c>
      <c r="Q23" s="259"/>
      <c r="R23" s="170">
        <v>77.565265769071232</v>
      </c>
      <c r="S23" s="170">
        <v>81.590359920835823</v>
      </c>
      <c r="T23" s="170">
        <v>84.910950129104393</v>
      </c>
      <c r="U23" s="170">
        <v>103.32597521701112</v>
      </c>
      <c r="V23" s="259"/>
      <c r="W23" s="170">
        <v>88.521262350133242</v>
      </c>
      <c r="X23" s="170">
        <v>97.757971977876579</v>
      </c>
      <c r="Y23" s="170">
        <v>45.780863381567478</v>
      </c>
      <c r="Z23" s="170">
        <v>49.14993382823387</v>
      </c>
      <c r="AA23" s="259"/>
      <c r="AB23" s="170">
        <f>-(BS!W53+BS!V53)/2000/AB29</f>
        <v>42.349865396562436</v>
      </c>
      <c r="AC23" s="170">
        <f>-(BS!X53+BS!W53)/2000/AC29</f>
        <v>41.203439476762924</v>
      </c>
      <c r="AD23" s="170">
        <f>-(BS!Y53+BS!X53)/2000/AD29</f>
        <v>47.762841711112969</v>
      </c>
      <c r="AE23" s="170">
        <f>-(BS!Z53+BS!Y53)/2000/AE29</f>
        <v>58.25219142174651</v>
      </c>
      <c r="AF23" s="416"/>
      <c r="AG23" s="170">
        <f>-(BS!AA53+BS!Z53)/2000/AG29</f>
        <v>61.035437430786267</v>
      </c>
      <c r="AH23" s="429">
        <f>-(BS!AB53+BS!AA53)/2000/AH29</f>
        <v>58.744561308351713</v>
      </c>
      <c r="AI23" s="347"/>
    </row>
    <row r="24" spans="1:42" x14ac:dyDescent="0.35">
      <c r="A24" s="356"/>
      <c r="B24" s="105"/>
      <c r="C24" s="170"/>
      <c r="D24" s="170"/>
      <c r="E24" s="170"/>
      <c r="F24" s="170"/>
      <c r="G24" s="259"/>
      <c r="H24" s="170"/>
      <c r="I24" s="170"/>
      <c r="J24" s="170"/>
      <c r="K24" s="170"/>
      <c r="L24" s="259"/>
      <c r="M24" s="170"/>
      <c r="N24" s="170"/>
      <c r="O24" s="170"/>
      <c r="P24" s="170"/>
      <c r="Q24" s="259"/>
      <c r="R24" s="170"/>
      <c r="S24" s="170"/>
      <c r="T24" s="170"/>
      <c r="U24" s="170"/>
      <c r="V24" s="259"/>
      <c r="W24" s="170"/>
      <c r="X24" s="170"/>
      <c r="Y24" s="170"/>
      <c r="Z24" s="170"/>
      <c r="AA24" s="259"/>
      <c r="AB24" s="410"/>
      <c r="AC24" s="410"/>
      <c r="AD24" s="410"/>
      <c r="AE24" s="366"/>
      <c r="AF24" s="259"/>
      <c r="AG24" s="410"/>
      <c r="AH24" s="170"/>
      <c r="AI24" s="347"/>
    </row>
    <row r="25" spans="1:42" x14ac:dyDescent="0.35">
      <c r="A25" s="356"/>
      <c r="B25" s="105"/>
      <c r="C25" s="170"/>
      <c r="D25" s="170"/>
      <c r="E25" s="170"/>
      <c r="F25" s="170"/>
      <c r="G25" s="259"/>
      <c r="H25" s="170"/>
      <c r="I25" s="170"/>
      <c r="J25" s="170"/>
      <c r="K25" s="170"/>
      <c r="L25" s="259"/>
      <c r="M25" s="170"/>
      <c r="N25" s="170"/>
      <c r="O25" s="170"/>
      <c r="P25" s="170"/>
      <c r="Q25" s="259"/>
      <c r="R25" s="170"/>
      <c r="S25" s="170"/>
      <c r="T25" s="170"/>
      <c r="U25" s="170"/>
      <c r="V25" s="259"/>
      <c r="W25" s="170"/>
      <c r="X25" s="170"/>
      <c r="Y25" s="170"/>
      <c r="Z25" s="170"/>
      <c r="AA25" s="259"/>
      <c r="AB25" s="410"/>
      <c r="AC25" s="410"/>
      <c r="AD25" s="410"/>
      <c r="AE25" s="366"/>
      <c r="AF25" s="259"/>
      <c r="AG25" s="410"/>
      <c r="AH25" s="170"/>
      <c r="AI25" s="424"/>
    </row>
    <row r="26" spans="1:42" outlineLevel="1" x14ac:dyDescent="0.35">
      <c r="A26" s="356" t="s">
        <v>1117</v>
      </c>
      <c r="B26" s="105"/>
      <c r="C26" s="170"/>
      <c r="D26" s="170"/>
      <c r="E26" s="170"/>
      <c r="F26" s="170"/>
      <c r="G26" s="259"/>
      <c r="H26" s="170"/>
      <c r="I26" s="170"/>
      <c r="J26" s="170"/>
      <c r="K26" s="170"/>
      <c r="L26" s="259"/>
      <c r="M26" s="170"/>
      <c r="N26" s="170"/>
      <c r="O26" s="170"/>
      <c r="P26" s="170"/>
      <c r="Q26" s="259"/>
      <c r="R26" s="170"/>
      <c r="S26" s="170"/>
      <c r="T26" s="170"/>
      <c r="U26" s="170"/>
      <c r="V26" s="259"/>
      <c r="W26" s="170"/>
      <c r="X26" s="170"/>
      <c r="Y26" s="170"/>
      <c r="Z26" s="170"/>
      <c r="AA26" s="259"/>
      <c r="AB26" s="411">
        <f>'P&amp;L (HUF)'!AL4+'P&amp;L (HUF)'!AJ4+'P&amp;L (HUF)'!AH4+'P&amp;L (HUF)'!AF4</f>
        <v>844351</v>
      </c>
      <c r="AC26" s="411">
        <f>'P&amp;L (HUF)'!AM4+'P&amp;L (HUF)'!AL4+'P&amp;L (HUF)'!AJ4+'P&amp;L (HUF)'!AH4</f>
        <v>855211</v>
      </c>
      <c r="AD26" s="411">
        <f>'P&amp;L (HUF)'!AO4+'P&amp;L (HUF)'!AM4+'P&amp;L (HUF)'!AL4+'P&amp;L (HUF)'!AJ4</f>
        <v>825948</v>
      </c>
      <c r="AE26" s="411">
        <f>'P&amp;L (HUF)'!AQ4+'P&amp;L (HUF)'!AO4+'P&amp;L (HUF)'!AM4+'P&amp;L (HUF)'!AL4</f>
        <v>805158</v>
      </c>
      <c r="AF26" s="259"/>
      <c r="AG26" s="411">
        <f>'P&amp;L (HUF)'!AS4+'P&amp;L (HUF)'!AQ4+'P&amp;L (HUF)'!AO4+'P&amp;L (HUF)'!AM4</f>
        <v>798937</v>
      </c>
      <c r="AH26" s="411">
        <f>'P&amp;L (HUF)'!AT4+'P&amp;L (HUF)'!AS4+'P&amp;L (HUF)'!AQ4+'P&amp;L (HUF)'!AO4</f>
        <v>811415</v>
      </c>
    </row>
    <row r="27" spans="1:42" outlineLevel="1" x14ac:dyDescent="0.35">
      <c r="A27" s="356" t="s">
        <v>1119</v>
      </c>
      <c r="B27" s="105"/>
      <c r="C27" s="170"/>
      <c r="D27" s="170"/>
      <c r="E27" s="170"/>
      <c r="F27" s="170"/>
      <c r="G27" s="259"/>
      <c r="H27" s="170"/>
      <c r="I27" s="170"/>
      <c r="J27" s="170"/>
      <c r="K27" s="170"/>
      <c r="L27" s="259"/>
      <c r="M27" s="170"/>
      <c r="N27" s="170"/>
      <c r="O27" s="170"/>
      <c r="P27" s="170"/>
      <c r="Q27" s="259"/>
      <c r="R27" s="170"/>
      <c r="S27" s="170"/>
      <c r="T27" s="170"/>
      <c r="U27" s="170"/>
      <c r="V27" s="259"/>
      <c r="W27" s="170"/>
      <c r="X27" s="170"/>
      <c r="Y27" s="170"/>
      <c r="Z27" s="170"/>
      <c r="AA27" s="259"/>
      <c r="AB27" s="410">
        <f>AB26/365000</f>
        <v>2.3132904109589041</v>
      </c>
      <c r="AC27" s="410">
        <f t="shared" ref="AC27:AD27" si="2">AC26/365000</f>
        <v>2.3430438356164385</v>
      </c>
      <c r="AD27" s="410">
        <f t="shared" si="2"/>
        <v>2.2628712328767122</v>
      </c>
      <c r="AE27" s="410">
        <f>AE26/365000</f>
        <v>2.2059123287671234</v>
      </c>
      <c r="AF27" s="259"/>
      <c r="AG27" s="410">
        <f>AG26/365000</f>
        <v>2.188868493150685</v>
      </c>
      <c r="AH27" s="410">
        <f>AH26/365000</f>
        <v>2.2230547945205479</v>
      </c>
    </row>
    <row r="28" spans="1:42" outlineLevel="1" x14ac:dyDescent="0.35">
      <c r="A28" s="356" t="s">
        <v>1118</v>
      </c>
      <c r="B28" s="105"/>
      <c r="C28" s="170"/>
      <c r="D28" s="170"/>
      <c r="E28" s="170"/>
      <c r="F28" s="170"/>
      <c r="G28" s="259"/>
      <c r="H28" s="170"/>
      <c r="I28" s="170"/>
      <c r="J28" s="170"/>
      <c r="K28" s="170"/>
      <c r="L28" s="259"/>
      <c r="M28" s="170"/>
      <c r="N28" s="170"/>
      <c r="O28" s="170"/>
      <c r="P28" s="170"/>
      <c r="Q28" s="259"/>
      <c r="R28" s="170"/>
      <c r="S28" s="170"/>
      <c r="T28" s="170"/>
      <c r="U28" s="170"/>
      <c r="V28" s="259"/>
      <c r="W28" s="170"/>
      <c r="X28" s="170"/>
      <c r="Y28" s="170"/>
      <c r="Z28" s="170"/>
      <c r="AA28" s="259"/>
      <c r="AB28" s="411">
        <f>'P&amp;L (HUF)'!AL6+'P&amp;L (HUF)'!AJ6+'P&amp;L (HUF)'!AH6+'P&amp;L (HUF)'!AF6</f>
        <v>-352517</v>
      </c>
      <c r="AC28" s="411">
        <f>'P&amp;L (HUF)'!AM6+'P&amp;L (HUF)'!AL6+'P&amp;L (HUF)'!AJ6+'P&amp;L (HUF)'!AH6</f>
        <v>-344471</v>
      </c>
      <c r="AD28" s="411">
        <f>'P&amp;L (HUF)'!AO6+'P&amp;L (HUF)'!AM6+'P&amp;L (HUF)'!AL6+'P&amp;L (HUF)'!AJ6</f>
        <v>-310862</v>
      </c>
      <c r="AE28" s="411">
        <f>'P&amp;L (HUF)'!AQ6+'P&amp;L (HUF)'!AO6+'P&amp;L (HUF)'!AM6+'P&amp;L (HUF)'!AL6</f>
        <v>-283834</v>
      </c>
      <c r="AF28" s="259"/>
      <c r="AG28" s="411">
        <f>'P&amp;L (HUF)'!AS6+'P&amp;L (HUF)'!AQ6+'P&amp;L (HUF)'!AO6+'P&amp;L (HUF)'!AM6</f>
        <v>-262773</v>
      </c>
      <c r="AH28" s="170">
        <f>'P&amp;L (HUF)'!AT6+'P&amp;L (HUF)'!AS6+'P&amp;L (HUF)'!AQ6+'P&amp;L (HUF)'!AO6</f>
        <v>-254427</v>
      </c>
    </row>
    <row r="29" spans="1:42" outlineLevel="1" x14ac:dyDescent="0.35">
      <c r="A29" s="356" t="s">
        <v>1120</v>
      </c>
      <c r="B29" s="105"/>
      <c r="C29" s="170"/>
      <c r="D29" s="170"/>
      <c r="E29" s="170"/>
      <c r="F29" s="170"/>
      <c r="G29" s="259"/>
      <c r="H29" s="170"/>
      <c r="I29" s="170"/>
      <c r="J29" s="170"/>
      <c r="K29" s="170"/>
      <c r="L29" s="259"/>
      <c r="M29" s="170"/>
      <c r="N29" s="170"/>
      <c r="O29" s="170"/>
      <c r="P29" s="170"/>
      <c r="Q29" s="259"/>
      <c r="R29" s="170"/>
      <c r="S29" s="170"/>
      <c r="T29" s="170"/>
      <c r="U29" s="170"/>
      <c r="V29" s="259"/>
      <c r="W29" s="170"/>
      <c r="X29" s="170"/>
      <c r="Y29" s="170"/>
      <c r="Z29" s="170"/>
      <c r="AA29" s="259"/>
      <c r="AB29" s="410">
        <f>AB28/365000</f>
        <v>-0.96579999999999999</v>
      </c>
      <c r="AC29" s="410">
        <f t="shared" ref="AC29" si="3">AC28/365000</f>
        <v>-0.94375616438356169</v>
      </c>
      <c r="AD29" s="410">
        <f t="shared" ref="AD29" si="4">AD28/365000</f>
        <v>-0.85167671232876707</v>
      </c>
      <c r="AE29" s="410">
        <f t="shared" ref="AE29" si="5">AE28/365000</f>
        <v>-0.77762739726027397</v>
      </c>
      <c r="AF29" s="259"/>
      <c r="AG29" s="410">
        <f>AG28/365000</f>
        <v>-0.7199260273972603</v>
      </c>
      <c r="AH29" s="170">
        <f>AH28/365000</f>
        <v>-0.69706027397260273</v>
      </c>
      <c r="AK29" s="20"/>
      <c r="AL29" s="20"/>
    </row>
    <row r="30" spans="1:42" outlineLevel="1" x14ac:dyDescent="0.35">
      <c r="A30" s="356" t="s">
        <v>1149</v>
      </c>
      <c r="B30" s="105"/>
      <c r="C30" s="170"/>
      <c r="D30" s="170"/>
      <c r="E30" s="170"/>
      <c r="F30" s="170"/>
      <c r="G30" s="259"/>
      <c r="H30" s="170"/>
      <c r="I30" s="170"/>
      <c r="J30" s="170"/>
      <c r="K30" s="170"/>
      <c r="L30" s="259"/>
      <c r="M30" s="170"/>
      <c r="N30" s="170"/>
      <c r="O30" s="170"/>
      <c r="P30" s="170"/>
      <c r="Q30" s="259"/>
      <c r="R30" s="170"/>
      <c r="S30" s="170"/>
      <c r="T30" s="170"/>
      <c r="U30" s="170"/>
      <c r="V30" s="259"/>
      <c r="W30" s="170"/>
      <c r="X30" s="170"/>
      <c r="Y30" s="170"/>
      <c r="Z30" s="170"/>
      <c r="AA30" s="259"/>
      <c r="AB30" s="170">
        <f>'P&amp;L (HUF)'!AF23+'P&amp;L (HUF)'!AH23+'P&amp;L (HUF)'!AJ23+'P&amp;L (HUF)'!AL23</f>
        <v>171880</v>
      </c>
      <c r="AC30" s="170">
        <f>'P&amp;L (HUF)'!AH23+'P&amp;L (HUF)'!AM23+'P&amp;L (HUF)'!AL23+'P&amp;L (HUF)'!AJ23</f>
        <v>124706</v>
      </c>
      <c r="AD30" s="170">
        <f>'P&amp;L (HUF)'!AJ23+'P&amp;L (HUF)'!AL23+'P&amp;L (HUF)'!AM23+'P&amp;L (HUF)'!AO23</f>
        <v>97242</v>
      </c>
      <c r="AE30" s="170">
        <f>'P&amp;L (HUF)'!AL23+'P&amp;L (HUF)'!AM23+'P&amp;L (HUF)'!AO23+'P&amp;L (HUF)'!AQ23</f>
        <v>160651</v>
      </c>
      <c r="AF30" s="259"/>
      <c r="AG30" s="410">
        <f>'P&amp;L (HUF)'!AS23+'P&amp;L (HUF)'!AQ23+'P&amp;L (HUF)'!AO23+'P&amp;L (HUF)'!AM23</f>
        <v>190152</v>
      </c>
      <c r="AH30" s="170">
        <f>'P&amp;L (HUF)'!AT23+'P&amp;L (HUF)'!AS23+'P&amp;L (HUF)'!AQ23+'P&amp;L (HUF)'!AO23</f>
        <v>230413</v>
      </c>
      <c r="AK30" s="20"/>
      <c r="AL30" s="20"/>
    </row>
    <row r="31" spans="1:42" x14ac:dyDescent="0.35">
      <c r="B31" s="105"/>
      <c r="C31" s="170"/>
      <c r="D31" s="170"/>
      <c r="E31" s="170"/>
      <c r="F31" s="170"/>
      <c r="G31" s="259"/>
      <c r="H31" s="170"/>
      <c r="I31" s="170"/>
      <c r="J31" s="170"/>
      <c r="K31" s="170"/>
      <c r="L31" s="259"/>
      <c r="M31" s="170"/>
      <c r="N31" s="170"/>
      <c r="O31" s="170"/>
      <c r="P31" s="170"/>
      <c r="Q31" s="259"/>
      <c r="R31" s="170"/>
      <c r="S31" s="170"/>
      <c r="T31" s="170"/>
      <c r="U31" s="170"/>
      <c r="V31" s="259"/>
      <c r="W31" s="170"/>
      <c r="X31" s="170"/>
      <c r="Y31" s="170"/>
      <c r="Z31" s="170"/>
      <c r="AA31" s="259"/>
      <c r="AB31" s="410"/>
      <c r="AC31" s="410"/>
      <c r="AD31" s="410"/>
      <c r="AE31" s="366"/>
      <c r="AF31" s="259"/>
      <c r="AG31" s="410"/>
      <c r="AH31" s="170"/>
      <c r="AL31" s="20"/>
      <c r="AM31" s="20"/>
    </row>
    <row r="32" spans="1:42" x14ac:dyDescent="0.35">
      <c r="A32" s="102"/>
      <c r="B32" s="102"/>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8"/>
      <c r="AA32" s="8"/>
      <c r="AB32" s="8"/>
      <c r="AC32" s="8"/>
      <c r="AD32" s="8"/>
      <c r="AE32" s="27"/>
      <c r="AF32" s="8"/>
      <c r="AG32" s="8"/>
      <c r="AH32" s="170"/>
      <c r="AL32" s="20"/>
      <c r="AM32" s="20"/>
    </row>
    <row r="33" spans="1:39" x14ac:dyDescent="0.35">
      <c r="A33" s="249" t="s">
        <v>116</v>
      </c>
      <c r="B33" s="249" t="s">
        <v>117</v>
      </c>
      <c r="C33" s="8"/>
      <c r="D33" s="8"/>
      <c r="E33" s="8"/>
      <c r="F33" s="8"/>
      <c r="G33" s="8"/>
      <c r="H33" s="8"/>
      <c r="I33" s="8"/>
      <c r="J33" s="8"/>
      <c r="K33" s="8"/>
      <c r="L33" s="8"/>
      <c r="M33" s="8"/>
      <c r="N33" s="8"/>
      <c r="O33" s="8"/>
      <c r="P33" s="8"/>
      <c r="Q33" s="8"/>
      <c r="R33" s="8"/>
      <c r="S33" s="8"/>
      <c r="T33" s="8"/>
      <c r="U33" s="8"/>
      <c r="V33" s="8"/>
      <c r="W33" s="8"/>
      <c r="X33" s="8"/>
      <c r="Y33" s="8"/>
      <c r="Z33" s="8"/>
      <c r="AA33" s="414"/>
      <c r="AB33" s="249"/>
      <c r="AC33" s="8"/>
      <c r="AE33" s="414"/>
      <c r="AF33" s="8"/>
      <c r="AG33" s="8"/>
      <c r="AH33" s="8"/>
      <c r="AL33" s="20"/>
      <c r="AM33" s="20"/>
    </row>
    <row r="34" spans="1:39" x14ac:dyDescent="0.35">
      <c r="A34" s="249" t="s">
        <v>118</v>
      </c>
      <c r="B34" s="258" t="s">
        <v>119</v>
      </c>
      <c r="AA34" s="413"/>
      <c r="AE34" s="413"/>
      <c r="AL34" s="20"/>
      <c r="AM34" s="20"/>
    </row>
    <row r="35" spans="1:39" x14ac:dyDescent="0.35">
      <c r="A35" s="249" t="s">
        <v>120</v>
      </c>
      <c r="B35" s="249" t="s">
        <v>121</v>
      </c>
    </row>
    <row r="36" spans="1:39" x14ac:dyDescent="0.35">
      <c r="A36" s="249" t="s">
        <v>122</v>
      </c>
      <c r="B36" s="249" t="s">
        <v>123</v>
      </c>
    </row>
    <row r="37" spans="1:39" x14ac:dyDescent="0.35">
      <c r="A37" s="415" t="s">
        <v>1151</v>
      </c>
      <c r="B37" s="415" t="s">
        <v>1152</v>
      </c>
    </row>
    <row r="38" spans="1:39" x14ac:dyDescent="0.35">
      <c r="A38" s="102"/>
      <c r="B38" s="249"/>
    </row>
    <row r="39" spans="1:39" ht="15" thickBot="1" x14ac:dyDescent="0.4">
      <c r="R39" s="353"/>
      <c r="S39" s="353"/>
    </row>
    <row r="40" spans="1:39" ht="24.75" customHeight="1" thickBot="1" x14ac:dyDescent="0.4">
      <c r="A40" s="282" t="s">
        <v>124</v>
      </c>
      <c r="B40" s="282" t="s">
        <v>125</v>
      </c>
      <c r="C40" s="282"/>
      <c r="D40" s="282"/>
      <c r="E40" s="282"/>
      <c r="F40" s="282"/>
      <c r="G40" s="282"/>
      <c r="H40" s="282"/>
      <c r="I40" s="282"/>
      <c r="J40" s="282"/>
      <c r="K40" s="282"/>
      <c r="L40" s="282"/>
      <c r="M40" s="282"/>
      <c r="N40" s="282"/>
      <c r="O40" s="282"/>
      <c r="P40" s="282"/>
      <c r="Q40" s="282"/>
      <c r="R40" s="1" t="s">
        <v>49</v>
      </c>
      <c r="S40" s="1" t="s">
        <v>50</v>
      </c>
      <c r="T40" s="1" t="s">
        <v>51</v>
      </c>
      <c r="U40" s="1" t="s">
        <v>52</v>
      </c>
      <c r="V40" s="1">
        <v>2021</v>
      </c>
      <c r="W40" s="1" t="s">
        <v>53</v>
      </c>
      <c r="X40" s="1" t="s">
        <v>54</v>
      </c>
      <c r="Y40" s="1" t="s">
        <v>55</v>
      </c>
      <c r="Z40" s="1" t="s">
        <v>56</v>
      </c>
      <c r="AA40" s="1">
        <v>2022</v>
      </c>
      <c r="AB40" s="1" t="s">
        <v>57</v>
      </c>
      <c r="AC40" s="1" t="s">
        <v>58</v>
      </c>
      <c r="AD40" s="1" t="s">
        <v>59</v>
      </c>
      <c r="AE40" s="1" t="s">
        <v>60</v>
      </c>
      <c r="AF40" s="1">
        <v>2023</v>
      </c>
      <c r="AG40" s="1" t="s">
        <v>61</v>
      </c>
      <c r="AH40" s="1" t="s">
        <v>1166</v>
      </c>
    </row>
    <row r="41" spans="1:39" ht="15" thickTop="1" x14ac:dyDescent="0.35">
      <c r="A41" s="283" t="s">
        <v>126</v>
      </c>
      <c r="B41" s="284" t="s">
        <v>127</v>
      </c>
      <c r="C41" s="284"/>
      <c r="D41" s="284"/>
      <c r="E41" s="284"/>
      <c r="F41" s="284"/>
      <c r="G41" s="284"/>
      <c r="H41" s="284"/>
      <c r="I41" s="284"/>
      <c r="J41" s="284"/>
      <c r="K41" s="284"/>
      <c r="L41" s="284"/>
      <c r="M41" s="284"/>
      <c r="N41" s="284"/>
      <c r="O41" s="284"/>
      <c r="P41" s="284"/>
      <c r="Q41" s="284"/>
      <c r="R41" s="2" t="s">
        <v>62</v>
      </c>
      <c r="S41" s="2" t="s">
        <v>62</v>
      </c>
      <c r="T41" s="2" t="s">
        <v>62</v>
      </c>
      <c r="U41" s="2" t="s">
        <v>62</v>
      </c>
      <c r="V41" s="2" t="s">
        <v>62</v>
      </c>
      <c r="W41" s="2" t="s">
        <v>62</v>
      </c>
      <c r="X41" s="2" t="s">
        <v>62</v>
      </c>
      <c r="Y41" s="2" t="s">
        <v>62</v>
      </c>
      <c r="Z41" s="2" t="s">
        <v>62</v>
      </c>
      <c r="AA41" s="2" t="s">
        <v>62</v>
      </c>
      <c r="AB41" s="2" t="s">
        <v>62</v>
      </c>
      <c r="AC41" s="2" t="s">
        <v>62</v>
      </c>
      <c r="AD41" s="2" t="s">
        <v>62</v>
      </c>
      <c r="AE41" s="2" t="s">
        <v>62</v>
      </c>
      <c r="AF41" s="2" t="s">
        <v>62</v>
      </c>
      <c r="AG41" s="2" t="s">
        <v>62</v>
      </c>
      <c r="AH41" s="2" t="s">
        <v>62</v>
      </c>
    </row>
    <row r="42" spans="1:39" x14ac:dyDescent="0.35">
      <c r="A42" s="34" t="s">
        <v>128</v>
      </c>
      <c r="B42" s="34" t="s">
        <v>129</v>
      </c>
      <c r="C42" s="34"/>
      <c r="D42" s="34"/>
      <c r="E42" s="34"/>
      <c r="F42" s="34"/>
      <c r="G42" s="259"/>
      <c r="H42" s="34"/>
      <c r="I42" s="34"/>
      <c r="J42" s="34"/>
      <c r="K42" s="34"/>
      <c r="L42" s="259"/>
      <c r="M42" s="34"/>
      <c r="N42" s="34"/>
      <c r="O42" s="34"/>
      <c r="P42" s="34"/>
      <c r="Q42" s="259"/>
      <c r="R42" s="8">
        <v>19641</v>
      </c>
      <c r="S42" s="8">
        <v>22324</v>
      </c>
      <c r="T42" s="8">
        <v>20448</v>
      </c>
      <c r="U42" s="8">
        <v>21185</v>
      </c>
      <c r="V42" s="4">
        <f t="shared" ref="V42:V48" si="6">SUM(R42:U42)</f>
        <v>83598</v>
      </c>
      <c r="W42" s="8">
        <v>25687</v>
      </c>
      <c r="X42" s="8">
        <v>28508</v>
      </c>
      <c r="Y42" s="8">
        <v>28370</v>
      </c>
      <c r="Z42" s="8">
        <v>32567</v>
      </c>
      <c r="AA42" s="4">
        <f t="shared" ref="AA42:AA48" si="7">SUM(W42:Z42)</f>
        <v>115132</v>
      </c>
      <c r="AB42" s="8">
        <v>30891</v>
      </c>
      <c r="AC42" s="8">
        <v>34378</v>
      </c>
      <c r="AD42" s="8">
        <v>33388</v>
      </c>
      <c r="AE42" s="8">
        <v>36541</v>
      </c>
      <c r="AF42" s="19">
        <v>135198</v>
      </c>
      <c r="AG42" s="8">
        <v>36484</v>
      </c>
      <c r="AH42" s="347">
        <v>39625</v>
      </c>
    </row>
    <row r="43" spans="1:39" x14ac:dyDescent="0.35">
      <c r="A43" s="34" t="s">
        <v>130</v>
      </c>
      <c r="B43" s="34" t="s">
        <v>131</v>
      </c>
      <c r="C43" s="34"/>
      <c r="D43" s="34"/>
      <c r="E43" s="34"/>
      <c r="F43" s="34"/>
      <c r="G43" s="259"/>
      <c r="H43" s="34"/>
      <c r="I43" s="34"/>
      <c r="J43" s="34"/>
      <c r="K43" s="34"/>
      <c r="L43" s="259"/>
      <c r="M43" s="34"/>
      <c r="N43" s="34"/>
      <c r="O43" s="34"/>
      <c r="P43" s="34"/>
      <c r="Q43" s="259"/>
      <c r="R43" s="8">
        <v>29712</v>
      </c>
      <c r="S43" s="8">
        <v>27925</v>
      </c>
      <c r="T43" s="8">
        <v>29023</v>
      </c>
      <c r="U43" s="8">
        <v>30881</v>
      </c>
      <c r="V43" s="4">
        <f t="shared" si="6"/>
        <v>117541</v>
      </c>
      <c r="W43" s="8">
        <v>33388</v>
      </c>
      <c r="X43" s="8">
        <v>33382</v>
      </c>
      <c r="Y43" s="8">
        <v>33552</v>
      </c>
      <c r="Z43" s="8">
        <v>32827</v>
      </c>
      <c r="AA43" s="4">
        <f t="shared" si="7"/>
        <v>133149</v>
      </c>
      <c r="AB43" s="8">
        <v>39584</v>
      </c>
      <c r="AC43" s="8">
        <v>36769</v>
      </c>
      <c r="AD43" s="8">
        <v>35410</v>
      </c>
      <c r="AE43" s="8">
        <v>36581</v>
      </c>
      <c r="AF43" s="19">
        <v>148344</v>
      </c>
      <c r="AG43" s="347">
        <v>43407</v>
      </c>
      <c r="AH43" s="347">
        <f>86407-AG43</f>
        <v>43000</v>
      </c>
    </row>
    <row r="44" spans="1:39" x14ac:dyDescent="0.35">
      <c r="A44" s="34" t="s">
        <v>132</v>
      </c>
      <c r="B44" s="34" t="s">
        <v>133</v>
      </c>
      <c r="C44" s="34"/>
      <c r="D44" s="34"/>
      <c r="E44" s="34"/>
      <c r="F44" s="34"/>
      <c r="G44" s="259"/>
      <c r="H44" s="34"/>
      <c r="I44" s="34"/>
      <c r="J44" s="34"/>
      <c r="K44" s="34"/>
      <c r="L44" s="259"/>
      <c r="M44" s="34"/>
      <c r="N44" s="34"/>
      <c r="O44" s="34"/>
      <c r="P44" s="34"/>
      <c r="Q44" s="259"/>
      <c r="R44" s="8">
        <v>26400</v>
      </c>
      <c r="S44" s="8">
        <v>32159</v>
      </c>
      <c r="T44" s="8">
        <v>31676</v>
      </c>
      <c r="U44" s="8">
        <v>35902</v>
      </c>
      <c r="V44" s="4">
        <f t="shared" si="6"/>
        <v>126137</v>
      </c>
      <c r="W44" s="8">
        <v>29674</v>
      </c>
      <c r="X44" s="8">
        <v>39983</v>
      </c>
      <c r="Y44" s="8">
        <v>53057</v>
      </c>
      <c r="Z44" s="8">
        <v>51736</v>
      </c>
      <c r="AA44" s="4">
        <f t="shared" si="7"/>
        <v>174450</v>
      </c>
      <c r="AB44" s="8">
        <v>43513</v>
      </c>
      <c r="AC44" s="8">
        <v>41510</v>
      </c>
      <c r="AD44" s="8">
        <v>37843</v>
      </c>
      <c r="AE44" s="8">
        <v>41676</v>
      </c>
      <c r="AF44" s="19">
        <v>164542</v>
      </c>
      <c r="AG44" s="347">
        <v>38477</v>
      </c>
      <c r="AH44" s="347">
        <f>84564-AG44</f>
        <v>46087</v>
      </c>
    </row>
    <row r="45" spans="1:39" x14ac:dyDescent="0.35">
      <c r="A45" s="34" t="s">
        <v>134</v>
      </c>
      <c r="B45" s="34" t="s">
        <v>135</v>
      </c>
      <c r="C45" s="34"/>
      <c r="D45" s="34"/>
      <c r="E45" s="34"/>
      <c r="F45" s="34"/>
      <c r="G45" s="259"/>
      <c r="H45" s="34"/>
      <c r="I45" s="34"/>
      <c r="J45" s="34"/>
      <c r="K45" s="34"/>
      <c r="L45" s="259"/>
      <c r="M45" s="34"/>
      <c r="N45" s="34"/>
      <c r="O45" s="34"/>
      <c r="P45" s="34"/>
      <c r="Q45" s="259"/>
      <c r="R45" s="8">
        <v>25222</v>
      </c>
      <c r="S45" s="8">
        <v>30045</v>
      </c>
      <c r="T45" s="8">
        <v>33310</v>
      </c>
      <c r="U45" s="8">
        <v>37480</v>
      </c>
      <c r="V45" s="4">
        <f t="shared" si="6"/>
        <v>126057</v>
      </c>
      <c r="W45" s="8">
        <v>32497</v>
      </c>
      <c r="X45" s="8">
        <v>40025</v>
      </c>
      <c r="Y45" s="8">
        <v>48112</v>
      </c>
      <c r="Z45" s="8">
        <v>45324</v>
      </c>
      <c r="AA45" s="4">
        <f t="shared" si="7"/>
        <v>165958</v>
      </c>
      <c r="AB45" s="8">
        <v>46728</v>
      </c>
      <c r="AC45" s="8">
        <v>51117</v>
      </c>
      <c r="AD45" s="8">
        <v>58828</v>
      </c>
      <c r="AE45" s="8">
        <v>64496</v>
      </c>
      <c r="AF45" s="19">
        <v>221169</v>
      </c>
      <c r="AG45" s="347">
        <v>57364</v>
      </c>
      <c r="AH45" s="347">
        <f>116457-AG45</f>
        <v>59093</v>
      </c>
    </row>
    <row r="46" spans="1:39" x14ac:dyDescent="0.35">
      <c r="A46" s="34" t="s">
        <v>136</v>
      </c>
      <c r="B46" s="34" t="s">
        <v>137</v>
      </c>
      <c r="C46" s="34"/>
      <c r="D46" s="34"/>
      <c r="E46" s="34"/>
      <c r="F46" s="34"/>
      <c r="G46" s="259"/>
      <c r="H46" s="34"/>
      <c r="I46" s="34"/>
      <c r="J46" s="34"/>
      <c r="K46" s="34"/>
      <c r="L46" s="259"/>
      <c r="M46" s="34"/>
      <c r="N46" s="34"/>
      <c r="O46" s="34"/>
      <c r="P46" s="34"/>
      <c r="Q46" s="259"/>
      <c r="R46" s="8">
        <v>5992</v>
      </c>
      <c r="S46" s="8">
        <v>9060</v>
      </c>
      <c r="T46" s="8">
        <v>7614</v>
      </c>
      <c r="U46" s="8">
        <v>10810</v>
      </c>
      <c r="V46" s="4">
        <f t="shared" si="6"/>
        <v>33476</v>
      </c>
      <c r="W46" s="8">
        <v>9584</v>
      </c>
      <c r="X46" s="8">
        <v>8692</v>
      </c>
      <c r="Y46" s="8">
        <v>10246</v>
      </c>
      <c r="Z46" s="8">
        <v>10555</v>
      </c>
      <c r="AA46" s="4">
        <f t="shared" si="7"/>
        <v>39077</v>
      </c>
      <c r="AB46" s="8">
        <v>9087</v>
      </c>
      <c r="AC46" s="8">
        <v>12178</v>
      </c>
      <c r="AD46" s="8">
        <v>9799</v>
      </c>
      <c r="AE46" s="8">
        <v>12003</v>
      </c>
      <c r="AF46" s="19">
        <v>43067</v>
      </c>
      <c r="AG46" s="347">
        <v>15231</v>
      </c>
      <c r="AH46" s="347">
        <f>29520-AG46</f>
        <v>14289</v>
      </c>
    </row>
    <row r="47" spans="1:39" x14ac:dyDescent="0.35">
      <c r="A47" s="34" t="s">
        <v>138</v>
      </c>
      <c r="B47" s="34" t="s">
        <v>139</v>
      </c>
      <c r="C47" s="34"/>
      <c r="D47" s="34"/>
      <c r="E47" s="34"/>
      <c r="F47" s="34"/>
      <c r="G47" s="259"/>
      <c r="H47" s="34"/>
      <c r="I47" s="34"/>
      <c r="J47" s="34"/>
      <c r="K47" s="34"/>
      <c r="L47" s="259"/>
      <c r="M47" s="34"/>
      <c r="N47" s="34"/>
      <c r="O47" s="34"/>
      <c r="P47" s="34"/>
      <c r="Q47" s="259"/>
      <c r="R47" s="8">
        <v>3448</v>
      </c>
      <c r="S47" s="8">
        <v>3088</v>
      </c>
      <c r="T47" s="8">
        <v>3353</v>
      </c>
      <c r="U47" s="8">
        <v>3910</v>
      </c>
      <c r="V47" s="4">
        <f t="shared" si="6"/>
        <v>13799</v>
      </c>
      <c r="W47" s="8">
        <v>3414</v>
      </c>
      <c r="X47" s="8">
        <v>5162</v>
      </c>
      <c r="Y47" s="8">
        <v>5876</v>
      </c>
      <c r="Z47" s="8">
        <v>7686</v>
      </c>
      <c r="AA47" s="4">
        <f t="shared" si="7"/>
        <v>22138</v>
      </c>
      <c r="AB47" s="8">
        <v>5627</v>
      </c>
      <c r="AC47" s="8">
        <v>6249</v>
      </c>
      <c r="AD47" s="8">
        <v>8127</v>
      </c>
      <c r="AE47" s="8">
        <v>6861</v>
      </c>
      <c r="AF47" s="19">
        <v>26864</v>
      </c>
      <c r="AG47" s="347">
        <v>7319</v>
      </c>
      <c r="AH47" s="347">
        <f>15732-AG47</f>
        <v>8413</v>
      </c>
    </row>
    <row r="48" spans="1:39" x14ac:dyDescent="0.35">
      <c r="A48" s="34" t="s">
        <v>140</v>
      </c>
      <c r="B48" s="34" t="s">
        <v>141</v>
      </c>
      <c r="C48" s="34"/>
      <c r="D48" s="34"/>
      <c r="E48" s="34"/>
      <c r="F48" s="34"/>
      <c r="G48" s="259"/>
      <c r="H48" s="34"/>
      <c r="I48" s="34"/>
      <c r="J48" s="34"/>
      <c r="K48" s="34"/>
      <c r="L48" s="259"/>
      <c r="M48" s="34"/>
      <c r="N48" s="34"/>
      <c r="O48" s="34"/>
      <c r="P48" s="34"/>
      <c r="Q48" s="259"/>
      <c r="R48" s="8">
        <v>1654</v>
      </c>
      <c r="S48" s="8">
        <v>678</v>
      </c>
      <c r="T48" s="8">
        <v>943</v>
      </c>
      <c r="U48" s="8">
        <v>1136</v>
      </c>
      <c r="V48" s="4">
        <f t="shared" si="6"/>
        <v>4411</v>
      </c>
      <c r="W48" s="8">
        <v>1064</v>
      </c>
      <c r="X48" s="8">
        <v>1689</v>
      </c>
      <c r="Y48" s="8">
        <v>1151</v>
      </c>
      <c r="Z48" s="8">
        <v>2535</v>
      </c>
      <c r="AA48" s="4">
        <f t="shared" si="7"/>
        <v>6439</v>
      </c>
      <c r="AB48" s="8">
        <v>2329</v>
      </c>
      <c r="AC48" s="8">
        <v>2179</v>
      </c>
      <c r="AD48" s="8">
        <v>1912</v>
      </c>
      <c r="AE48" s="8">
        <v>1842</v>
      </c>
      <c r="AF48" s="19">
        <v>8262</v>
      </c>
      <c r="AG48" s="347">
        <v>1843</v>
      </c>
      <c r="AH48" s="347">
        <v>2747</v>
      </c>
    </row>
    <row r="49" spans="1:34" x14ac:dyDescent="0.35">
      <c r="A49" s="11" t="s">
        <v>142</v>
      </c>
      <c r="B49" s="11" t="s">
        <v>64</v>
      </c>
      <c r="C49" s="11"/>
      <c r="D49" s="11"/>
      <c r="E49" s="11"/>
      <c r="F49" s="11"/>
      <c r="G49" s="259"/>
      <c r="H49" s="11"/>
      <c r="I49" s="11"/>
      <c r="J49" s="11"/>
      <c r="K49" s="11"/>
      <c r="L49" s="259"/>
      <c r="M49" s="11"/>
      <c r="N49" s="11"/>
      <c r="O49" s="11"/>
      <c r="P49" s="11"/>
      <c r="Q49" s="259"/>
      <c r="R49" s="12">
        <f t="shared" ref="R49:AC49" si="8">SUM(R42:R48)</f>
        <v>112069</v>
      </c>
      <c r="S49" s="12">
        <f t="shared" si="8"/>
        <v>125279</v>
      </c>
      <c r="T49" s="12">
        <f t="shared" si="8"/>
        <v>126367</v>
      </c>
      <c r="U49" s="12">
        <f t="shared" si="8"/>
        <v>141304</v>
      </c>
      <c r="V49" s="13">
        <f t="shared" si="8"/>
        <v>505019</v>
      </c>
      <c r="W49" s="12">
        <f t="shared" si="8"/>
        <v>135308</v>
      </c>
      <c r="X49" s="12">
        <f t="shared" si="8"/>
        <v>157441</v>
      </c>
      <c r="Y49" s="12">
        <f t="shared" si="8"/>
        <v>180364</v>
      </c>
      <c r="Z49" s="12">
        <f t="shared" si="8"/>
        <v>183230</v>
      </c>
      <c r="AA49" s="13">
        <f t="shared" si="8"/>
        <v>656343</v>
      </c>
      <c r="AB49" s="12">
        <f t="shared" si="8"/>
        <v>177759</v>
      </c>
      <c r="AC49" s="12">
        <f t="shared" si="8"/>
        <v>184380</v>
      </c>
      <c r="AD49" s="12">
        <f>SUM(AD42:AD48)</f>
        <v>185307</v>
      </c>
      <c r="AE49" s="12">
        <v>200000</v>
      </c>
      <c r="AF49" s="13">
        <v>747446</v>
      </c>
      <c r="AG49" s="349">
        <f t="shared" ref="AG49" si="9">SUM(AG42:AG48)</f>
        <v>200125</v>
      </c>
      <c r="AH49" s="349">
        <f>SUM(AH42:AH48)</f>
        <v>213254</v>
      </c>
    </row>
    <row r="50" spans="1:34" x14ac:dyDescent="0.35">
      <c r="Q50" s="382"/>
    </row>
    <row r="51" spans="1:34" x14ac:dyDescent="0.35">
      <c r="A51" s="249"/>
      <c r="B51" s="249"/>
      <c r="P51" s="20"/>
      <c r="Q51" s="10"/>
    </row>
    <row r="52" spans="1:34" x14ac:dyDescent="0.35">
      <c r="A52" s="249"/>
      <c r="B52" s="249"/>
    </row>
  </sheetData>
  <mergeCells count="4">
    <mergeCell ref="A2:A3"/>
    <mergeCell ref="A14:A15"/>
    <mergeCell ref="B14:B15"/>
    <mergeCell ref="B2:B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EC515-F45B-4DDA-81D8-9A09AD4538A6}">
  <sheetPr codeName="Munka1">
    <tabColor rgb="FF0070C0"/>
  </sheetPr>
  <dimension ref="A1:AV69"/>
  <sheetViews>
    <sheetView topLeftCell="A2" zoomScale="68" zoomScaleNormal="68" workbookViewId="0">
      <pane xSplit="2" topLeftCell="AI1" activePane="topRight" state="frozen"/>
      <selection activeCell="AS1" sqref="AS1"/>
      <selection pane="topRight" activeCell="AR7" sqref="AR7"/>
    </sheetView>
  </sheetViews>
  <sheetFormatPr defaultRowHeight="14.5" outlineLevelCol="1" x14ac:dyDescent="0.35"/>
  <cols>
    <col min="1" max="1" width="47.81640625" customWidth="1"/>
    <col min="2" max="2" width="54.81640625" customWidth="1"/>
    <col min="3" max="6" width="12" hidden="1" customWidth="1" outlineLevel="1"/>
    <col min="7" max="7" width="13.81640625" hidden="1" customWidth="1" outlineLevel="1"/>
    <col min="8" max="8" width="13.1796875" hidden="1" customWidth="1" outlineLevel="1"/>
    <col min="9" max="9" width="13.81640625" bestFit="1" customWidth="1" collapsed="1"/>
    <col min="10" max="11" width="12" hidden="1" customWidth="1" outlineLevel="1"/>
    <col min="12" max="12" width="13.1796875" hidden="1" customWidth="1" outlineLevel="1"/>
    <col min="13" max="13" width="12" hidden="1" customWidth="1" outlineLevel="1"/>
    <col min="14" max="14" width="13.81640625" hidden="1" customWidth="1" outlineLevel="1"/>
    <col min="15" max="15" width="13.1796875" hidden="1" customWidth="1" outlineLevel="1"/>
    <col min="16" max="16" width="13.1796875" customWidth="1" collapsed="1"/>
    <col min="17" max="17" width="12" hidden="1" customWidth="1" outlineLevel="1"/>
    <col min="18" max="20" width="13.1796875" hidden="1" customWidth="1" outlineLevel="1"/>
    <col min="21" max="21" width="13.81640625" hidden="1" customWidth="1" outlineLevel="1"/>
    <col min="22" max="22" width="13.1796875" hidden="1" customWidth="1" outlineLevel="1"/>
    <col min="23" max="23" width="13.1796875" bestFit="1" customWidth="1" collapsed="1"/>
    <col min="24" max="24" width="12" hidden="1" customWidth="1" outlineLevel="1"/>
    <col min="25" max="26" width="13.1796875" hidden="1" customWidth="1" outlineLevel="1"/>
    <col min="27" max="27" width="12" hidden="1" customWidth="1" outlineLevel="1"/>
    <col min="28" max="28" width="13.81640625" hidden="1" customWidth="1" outlineLevel="1"/>
    <col min="29" max="29" width="12" hidden="1" customWidth="1" outlineLevel="1"/>
    <col min="30" max="30" width="13.1796875" bestFit="1" customWidth="1" collapsed="1"/>
    <col min="31" max="31" width="12.81640625" bestFit="1" customWidth="1" outlineLevel="1"/>
    <col min="32" max="32" width="12" customWidth="1" outlineLevel="1"/>
    <col min="33" max="33" width="13.1796875" customWidth="1" outlineLevel="1"/>
    <col min="34" max="34" width="12" customWidth="1" outlineLevel="1"/>
    <col min="35" max="35" width="13.81640625" customWidth="1" outlineLevel="1"/>
    <col min="36" max="36" width="13.1796875" customWidth="1" outlineLevel="1"/>
    <col min="37" max="37" width="13.1796875" bestFit="1" customWidth="1"/>
    <col min="38" max="38" width="13.1796875" customWidth="1" outlineLevel="1"/>
    <col min="39" max="39" width="13.1796875" bestFit="1" customWidth="1" outlineLevel="1"/>
    <col min="40" max="40" width="14.81640625" bestFit="1" customWidth="1" outlineLevel="1"/>
    <col min="41" max="41" width="13.1796875" bestFit="1" customWidth="1" outlineLevel="1"/>
    <col min="42" max="42" width="14.81640625" bestFit="1" customWidth="1" outlineLevel="1"/>
    <col min="43" max="43" width="13.1796875" bestFit="1" customWidth="1" outlineLevel="1"/>
    <col min="44" max="44" width="14.81640625" bestFit="1" customWidth="1"/>
    <col min="45" max="45" width="13.1796875" bestFit="1" customWidth="1"/>
    <col min="46" max="46" width="13.1796875" bestFit="1" customWidth="1" outlineLevel="1"/>
    <col min="47" max="47" width="14.81640625" bestFit="1" customWidth="1" outlineLevel="1"/>
    <col min="48" max="48" width="13.453125" bestFit="1" customWidth="1"/>
    <col min="49" max="49" width="13.453125" customWidth="1"/>
    <col min="50" max="50" width="13.453125" bestFit="1" customWidth="1"/>
    <col min="51" max="51" width="11.81640625" bestFit="1" customWidth="1"/>
  </cols>
  <sheetData>
    <row r="1" spans="1:48" ht="30" customHeight="1" thickBot="1" x14ac:dyDescent="0.4">
      <c r="A1" s="197"/>
      <c r="B1" s="197"/>
      <c r="AL1" s="39"/>
      <c r="AM1" s="39"/>
      <c r="AP1" s="39"/>
      <c r="AS1" s="39"/>
      <c r="AT1" s="431"/>
      <c r="AU1" s="353"/>
    </row>
    <row r="2" spans="1:48" ht="15" thickBot="1" x14ac:dyDescent="0.4">
      <c r="A2" s="479" t="s">
        <v>143</v>
      </c>
      <c r="B2" s="477" t="s">
        <v>144</v>
      </c>
      <c r="C2" s="1" t="s">
        <v>37</v>
      </c>
      <c r="D2" s="1" t="s">
        <v>38</v>
      </c>
      <c r="E2" s="1" t="s">
        <v>145</v>
      </c>
      <c r="F2" s="1" t="s">
        <v>39</v>
      </c>
      <c r="G2" s="1" t="s">
        <v>146</v>
      </c>
      <c r="H2" s="1" t="s">
        <v>40</v>
      </c>
      <c r="I2" s="1">
        <v>2018</v>
      </c>
      <c r="J2" s="1" t="s">
        <v>41</v>
      </c>
      <c r="K2" s="1" t="s">
        <v>42</v>
      </c>
      <c r="L2" s="1" t="s">
        <v>147</v>
      </c>
      <c r="M2" s="1" t="s">
        <v>43</v>
      </c>
      <c r="N2" s="1" t="s">
        <v>148</v>
      </c>
      <c r="O2" s="1" t="s">
        <v>44</v>
      </c>
      <c r="P2" s="1" t="s">
        <v>149</v>
      </c>
      <c r="Q2" s="1" t="s">
        <v>150</v>
      </c>
      <c r="R2" s="1" t="s">
        <v>46</v>
      </c>
      <c r="S2" s="1" t="s">
        <v>151</v>
      </c>
      <c r="T2" s="1" t="s">
        <v>47</v>
      </c>
      <c r="U2" s="1" t="s">
        <v>152</v>
      </c>
      <c r="V2" s="1" t="s">
        <v>48</v>
      </c>
      <c r="W2" s="1">
        <v>2020</v>
      </c>
      <c r="X2" s="1" t="s">
        <v>49</v>
      </c>
      <c r="Y2" s="1" t="s">
        <v>50</v>
      </c>
      <c r="Z2" s="1" t="s">
        <v>153</v>
      </c>
      <c r="AA2" s="1" t="s">
        <v>51</v>
      </c>
      <c r="AB2" s="1" t="s">
        <v>154</v>
      </c>
      <c r="AC2" s="1" t="s">
        <v>52</v>
      </c>
      <c r="AD2" s="1">
        <v>2021</v>
      </c>
      <c r="AE2" s="1" t="s">
        <v>53</v>
      </c>
      <c r="AF2" s="1" t="s">
        <v>54</v>
      </c>
      <c r="AG2" s="1" t="s">
        <v>155</v>
      </c>
      <c r="AH2" s="1" t="s">
        <v>55</v>
      </c>
      <c r="AI2" s="1" t="s">
        <v>156</v>
      </c>
      <c r="AJ2" s="1" t="s">
        <v>157</v>
      </c>
      <c r="AK2" s="1" t="s">
        <v>158</v>
      </c>
      <c r="AL2" s="1" t="s">
        <v>57</v>
      </c>
      <c r="AM2" s="1" t="s">
        <v>58</v>
      </c>
      <c r="AN2" s="1" t="s">
        <v>159</v>
      </c>
      <c r="AO2" s="1" t="s">
        <v>59</v>
      </c>
      <c r="AP2" s="1" t="s">
        <v>160</v>
      </c>
      <c r="AQ2" s="1" t="s">
        <v>60</v>
      </c>
      <c r="AR2" s="1">
        <v>2023</v>
      </c>
      <c r="AS2" s="1" t="s">
        <v>61</v>
      </c>
      <c r="AT2" s="1" t="s">
        <v>1166</v>
      </c>
      <c r="AU2" s="1" t="s">
        <v>1167</v>
      </c>
    </row>
    <row r="3" spans="1:48" ht="15" thickTop="1" x14ac:dyDescent="0.35">
      <c r="A3" s="480"/>
      <c r="B3" s="478"/>
      <c r="C3" s="2" t="s">
        <v>62</v>
      </c>
      <c r="D3" s="2" t="s">
        <v>62</v>
      </c>
      <c r="E3" s="2" t="s">
        <v>62</v>
      </c>
      <c r="F3" s="2" t="s">
        <v>62</v>
      </c>
      <c r="G3" s="2" t="s">
        <v>62</v>
      </c>
      <c r="H3" s="2" t="s">
        <v>62</v>
      </c>
      <c r="I3" s="2" t="s">
        <v>62</v>
      </c>
      <c r="J3" s="2" t="s">
        <v>62</v>
      </c>
      <c r="K3" s="2" t="s">
        <v>62</v>
      </c>
      <c r="L3" s="2" t="s">
        <v>62</v>
      </c>
      <c r="M3" s="2" t="s">
        <v>62</v>
      </c>
      <c r="N3" s="2" t="s">
        <v>62</v>
      </c>
      <c r="O3" s="2" t="s">
        <v>62</v>
      </c>
      <c r="P3" s="2" t="s">
        <v>62</v>
      </c>
      <c r="Q3" s="2" t="s">
        <v>62</v>
      </c>
      <c r="R3" s="2" t="s">
        <v>62</v>
      </c>
      <c r="S3" s="2" t="s">
        <v>62</v>
      </c>
      <c r="T3" s="2" t="s">
        <v>62</v>
      </c>
      <c r="U3" s="2" t="s">
        <v>62</v>
      </c>
      <c r="V3" s="2" t="s">
        <v>62</v>
      </c>
      <c r="W3" s="2" t="s">
        <v>62</v>
      </c>
      <c r="X3" s="2" t="s">
        <v>62</v>
      </c>
      <c r="Y3" s="2" t="s">
        <v>62</v>
      </c>
      <c r="Z3" s="2" t="s">
        <v>62</v>
      </c>
      <c r="AA3" s="2" t="s">
        <v>62</v>
      </c>
      <c r="AB3" s="2" t="s">
        <v>62</v>
      </c>
      <c r="AC3" s="2" t="s">
        <v>62</v>
      </c>
      <c r="AD3" s="2" t="s">
        <v>62</v>
      </c>
      <c r="AE3" s="2" t="s">
        <v>62</v>
      </c>
      <c r="AF3" s="2" t="s">
        <v>62</v>
      </c>
      <c r="AG3" s="2" t="s">
        <v>62</v>
      </c>
      <c r="AH3" s="2" t="s">
        <v>62</v>
      </c>
      <c r="AI3" s="2" t="s">
        <v>62</v>
      </c>
      <c r="AJ3" s="2" t="s">
        <v>62</v>
      </c>
      <c r="AK3" s="2" t="s">
        <v>62</v>
      </c>
      <c r="AL3" s="2" t="s">
        <v>62</v>
      </c>
      <c r="AM3" s="2" t="s">
        <v>62</v>
      </c>
      <c r="AN3" s="2" t="s">
        <v>62</v>
      </c>
      <c r="AO3" s="2" t="s">
        <v>62</v>
      </c>
      <c r="AP3" s="2" t="s">
        <v>62</v>
      </c>
      <c r="AQ3" s="2" t="s">
        <v>62</v>
      </c>
      <c r="AR3" s="2" t="s">
        <v>62</v>
      </c>
      <c r="AS3" s="2" t="s">
        <v>62</v>
      </c>
      <c r="AT3" s="2" t="s">
        <v>62</v>
      </c>
      <c r="AU3" s="2" t="s">
        <v>62</v>
      </c>
    </row>
    <row r="4" spans="1:48" x14ac:dyDescent="0.35">
      <c r="A4" s="103" t="s">
        <v>63</v>
      </c>
      <c r="B4" s="103" t="s">
        <v>64</v>
      </c>
      <c r="C4" s="3">
        <v>113945</v>
      </c>
      <c r="D4" s="3">
        <v>110485</v>
      </c>
      <c r="E4" s="171">
        <f>SUM($C4:$D4)</f>
        <v>224430</v>
      </c>
      <c r="F4" s="3">
        <v>99445</v>
      </c>
      <c r="G4" s="171">
        <f>SUM($E4:$F4)</f>
        <v>323875</v>
      </c>
      <c r="H4" s="3">
        <v>121609</v>
      </c>
      <c r="I4" s="331">
        <f>$C4+$D4+$F4+$H4</f>
        <v>445484</v>
      </c>
      <c r="J4" s="3">
        <v>121612</v>
      </c>
      <c r="K4" s="3">
        <v>119910</v>
      </c>
      <c r="L4" s="171">
        <f>SUM($J4:$K4)</f>
        <v>241522</v>
      </c>
      <c r="M4" s="3">
        <v>127537</v>
      </c>
      <c r="N4" s="171">
        <f>SUM($L4:$M4)</f>
        <v>369059</v>
      </c>
      <c r="O4" s="3">
        <v>138735</v>
      </c>
      <c r="P4" s="331">
        <f>$J4+$K4+$M4+$O4</f>
        <v>507794</v>
      </c>
      <c r="Q4" s="3">
        <v>141426</v>
      </c>
      <c r="R4" s="3">
        <v>137266</v>
      </c>
      <c r="S4" s="171">
        <f>SUM($Q4:$R4)</f>
        <v>278692</v>
      </c>
      <c r="T4" s="3">
        <v>137697</v>
      </c>
      <c r="U4" s="171">
        <f>SUM($S4:$T4)</f>
        <v>416389</v>
      </c>
      <c r="V4" s="3">
        <v>150387</v>
      </c>
      <c r="W4" s="331">
        <f>$Q4+$R4+$T4+$V4</f>
        <v>566776</v>
      </c>
      <c r="X4" s="3">
        <v>140894</v>
      </c>
      <c r="Y4" s="3">
        <v>155909</v>
      </c>
      <c r="Z4" s="171">
        <f>$X4+$Y4</f>
        <v>296803</v>
      </c>
      <c r="AA4" s="3">
        <v>157518</v>
      </c>
      <c r="AB4" s="171">
        <f>$Z4+$AA4</f>
        <v>454321</v>
      </c>
      <c r="AC4" s="3">
        <v>176274</v>
      </c>
      <c r="AD4" s="331">
        <f>$X4+$Y4+$AA4+$AC4</f>
        <v>630595</v>
      </c>
      <c r="AE4" s="3">
        <v>168057</v>
      </c>
      <c r="AF4" s="3">
        <v>192923</v>
      </c>
      <c r="AG4" s="171">
        <f>SUM($AE4:$AF4)</f>
        <v>360980</v>
      </c>
      <c r="AH4" s="3">
        <v>217807</v>
      </c>
      <c r="AI4" s="171">
        <f>SUM($AG4:$AH4)</f>
        <v>578787</v>
      </c>
      <c r="AJ4" s="3">
        <v>223968</v>
      </c>
      <c r="AK4" s="331">
        <f>$AE4+$AF4+$AH4+$AJ4</f>
        <v>802755</v>
      </c>
      <c r="AL4" s="3">
        <v>209653</v>
      </c>
      <c r="AM4" s="3">
        <v>203783</v>
      </c>
      <c r="AN4" s="171">
        <f t="shared" ref="AN4:AN23" si="0">SUM($AL4:$AM4)</f>
        <v>413436</v>
      </c>
      <c r="AO4" s="3">
        <v>188544</v>
      </c>
      <c r="AP4" s="171">
        <f>SUM($AN4:$AO4)</f>
        <v>601980</v>
      </c>
      <c r="AQ4" s="3">
        <v>203178</v>
      </c>
      <c r="AR4" s="331">
        <v>805158</v>
      </c>
      <c r="AS4" s="3">
        <v>203432</v>
      </c>
      <c r="AT4" s="3">
        <f>AU4-AS4</f>
        <v>216261</v>
      </c>
      <c r="AU4" s="171">
        <v>419693</v>
      </c>
    </row>
    <row r="5" spans="1:48" s="160" customFormat="1" x14ac:dyDescent="0.35">
      <c r="A5" s="193" t="s">
        <v>161</v>
      </c>
      <c r="B5" s="193" t="s">
        <v>162</v>
      </c>
      <c r="C5" s="333">
        <v>4013</v>
      </c>
      <c r="D5" s="333">
        <v>6010</v>
      </c>
      <c r="E5" s="335">
        <f t="shared" ref="E5:E26" si="1">SUM($C5:$D5)</f>
        <v>10023</v>
      </c>
      <c r="F5" s="333">
        <v>7315</v>
      </c>
      <c r="G5" s="335">
        <f t="shared" ref="G5:G26" si="2">SUM($E5:$F5)</f>
        <v>17338</v>
      </c>
      <c r="H5" s="333">
        <v>7798</v>
      </c>
      <c r="I5" s="334">
        <f>$C5+$D5+$F5+$H5</f>
        <v>25136</v>
      </c>
      <c r="J5" s="333">
        <v>15122</v>
      </c>
      <c r="K5" s="333">
        <v>9340</v>
      </c>
      <c r="L5" s="335">
        <f t="shared" ref="L5:L26" si="3">SUM($J5:$K5)</f>
        <v>24462</v>
      </c>
      <c r="M5" s="333">
        <v>13075</v>
      </c>
      <c r="N5" s="335">
        <f t="shared" ref="N5:N26" si="4">SUM($L5:$M5)</f>
        <v>37537</v>
      </c>
      <c r="O5" s="333">
        <v>18115</v>
      </c>
      <c r="P5" s="334">
        <f t="shared" ref="P5:P26" si="5">$J5+$K5+$M5+$O5</f>
        <v>55652</v>
      </c>
      <c r="Q5" s="333">
        <v>15814</v>
      </c>
      <c r="R5" s="333">
        <v>28663</v>
      </c>
      <c r="S5" s="335">
        <f t="shared" ref="S5:S26" si="6">SUM($Q5:$R5)</f>
        <v>44477</v>
      </c>
      <c r="T5" s="333">
        <v>21923</v>
      </c>
      <c r="U5" s="335">
        <f t="shared" ref="U5:U26" si="7">SUM($S5:$T5)</f>
        <v>66400</v>
      </c>
      <c r="V5" s="333">
        <v>23138</v>
      </c>
      <c r="W5" s="334">
        <f t="shared" ref="W5:W26" si="8">$Q5+$R5+$T5+$V5</f>
        <v>89538</v>
      </c>
      <c r="X5" s="333">
        <v>24958</v>
      </c>
      <c r="Y5" s="333">
        <v>26207</v>
      </c>
      <c r="Z5" s="335">
        <f t="shared" ref="Z5:Z26" si="9">$X5+$Y5</f>
        <v>51165</v>
      </c>
      <c r="AA5" s="333">
        <v>32231</v>
      </c>
      <c r="AB5" s="335">
        <f t="shared" ref="AB5:AB26" si="10">$Z5+$AA5</f>
        <v>83396</v>
      </c>
      <c r="AC5" s="333">
        <v>34907</v>
      </c>
      <c r="AD5" s="334">
        <f t="shared" ref="AD5:AD26" si="11">$X5+$Y5+$AA5+$AC5</f>
        <v>118303</v>
      </c>
      <c r="AE5" s="333">
        <v>31351</v>
      </c>
      <c r="AF5" s="333">
        <v>33347</v>
      </c>
      <c r="AG5" s="335">
        <f t="shared" ref="AG5:AG26" si="12">SUM($AE5:$AF5)</f>
        <v>64698</v>
      </c>
      <c r="AH5" s="333">
        <v>43940</v>
      </c>
      <c r="AI5" s="335">
        <f t="shared" ref="AI5:AI26" si="13">SUM($AG5:$AH5)</f>
        <v>108638</v>
      </c>
      <c r="AJ5" s="333">
        <v>41087</v>
      </c>
      <c r="AK5" s="334">
        <f t="shared" ref="AK5:AK26" si="14">$AE5+$AF5+$AH5+$AJ5</f>
        <v>149725</v>
      </c>
      <c r="AL5" s="333">
        <v>41940</v>
      </c>
      <c r="AM5" s="333">
        <v>44489</v>
      </c>
      <c r="AN5" s="335">
        <f t="shared" si="0"/>
        <v>86429</v>
      </c>
      <c r="AO5" s="333">
        <v>53254</v>
      </c>
      <c r="AP5" s="335">
        <f t="shared" ref="AP5:AP26" si="15">SUM($AN5:$AO5)</f>
        <v>139683</v>
      </c>
      <c r="AQ5" s="333">
        <v>59621</v>
      </c>
      <c r="AR5" s="334">
        <v>199304</v>
      </c>
      <c r="AS5" s="333">
        <v>50611</v>
      </c>
      <c r="AT5" s="333">
        <f>AU5-AS5</f>
        <v>54188</v>
      </c>
      <c r="AU5" s="171">
        <v>104799</v>
      </c>
    </row>
    <row r="6" spans="1:48" x14ac:dyDescent="0.35">
      <c r="A6" s="103" t="s">
        <v>163</v>
      </c>
      <c r="B6" s="103" t="s">
        <v>164</v>
      </c>
      <c r="C6" s="8">
        <v>-48370</v>
      </c>
      <c r="D6" s="8">
        <v>-45723</v>
      </c>
      <c r="E6" s="174">
        <f>SUM($C6:$D6)</f>
        <v>-94093</v>
      </c>
      <c r="F6" s="8">
        <v>-40537</v>
      </c>
      <c r="G6" s="174">
        <f t="shared" si="2"/>
        <v>-134630</v>
      </c>
      <c r="H6" s="8">
        <v>-57018</v>
      </c>
      <c r="I6" s="9">
        <f t="shared" ref="I6:I26" si="16">$C6+$D6+$F6+$H6</f>
        <v>-191648</v>
      </c>
      <c r="J6" s="8">
        <v>-51665</v>
      </c>
      <c r="K6" s="8">
        <v>-52366</v>
      </c>
      <c r="L6" s="174">
        <f t="shared" si="3"/>
        <v>-104031</v>
      </c>
      <c r="M6" s="8">
        <v>-57693</v>
      </c>
      <c r="N6" s="174">
        <f t="shared" si="4"/>
        <v>-161724</v>
      </c>
      <c r="O6" s="8">
        <v>-68291</v>
      </c>
      <c r="P6" s="9">
        <f t="shared" si="5"/>
        <v>-230015</v>
      </c>
      <c r="Q6" s="8">
        <v>-61185</v>
      </c>
      <c r="R6" s="8">
        <v>-57898</v>
      </c>
      <c r="S6" s="174">
        <f t="shared" si="6"/>
        <v>-119083</v>
      </c>
      <c r="T6" s="8">
        <v>-60850</v>
      </c>
      <c r="U6" s="174">
        <f t="shared" si="7"/>
        <v>-179933</v>
      </c>
      <c r="V6" s="8">
        <v>-68073</v>
      </c>
      <c r="W6" s="9">
        <f t="shared" si="8"/>
        <v>-248006</v>
      </c>
      <c r="X6" s="8">
        <v>-62686</v>
      </c>
      <c r="Y6" s="8">
        <v>-67676</v>
      </c>
      <c r="Z6" s="174">
        <f t="shared" si="9"/>
        <v>-130362</v>
      </c>
      <c r="AA6" s="8">
        <v>-71800</v>
      </c>
      <c r="AB6" s="174">
        <f t="shared" si="10"/>
        <v>-202162</v>
      </c>
      <c r="AC6" s="8">
        <v>-79160</v>
      </c>
      <c r="AD6" s="9">
        <f t="shared" si="11"/>
        <v>-281322</v>
      </c>
      <c r="AE6" s="8">
        <v>-72064</v>
      </c>
      <c r="AF6" s="8">
        <v>-82885</v>
      </c>
      <c r="AG6" s="174">
        <f t="shared" si="12"/>
        <v>-154949</v>
      </c>
      <c r="AH6" s="8">
        <v>-87134</v>
      </c>
      <c r="AI6" s="174">
        <f t="shared" si="13"/>
        <v>-242083</v>
      </c>
      <c r="AJ6" s="8">
        <v>-100208</v>
      </c>
      <c r="AK6" s="9">
        <f t="shared" si="14"/>
        <v>-342291</v>
      </c>
      <c r="AL6" s="8">
        <v>-82290</v>
      </c>
      <c r="AM6" s="8">
        <v>-74839</v>
      </c>
      <c r="AN6" s="174">
        <f t="shared" si="0"/>
        <v>-157129</v>
      </c>
      <c r="AO6" s="8">
        <v>-53525</v>
      </c>
      <c r="AP6" s="174">
        <f t="shared" si="15"/>
        <v>-210654</v>
      </c>
      <c r="AQ6" s="8">
        <v>-73180</v>
      </c>
      <c r="AR6" s="9">
        <v>-283834</v>
      </c>
      <c r="AS6" s="8">
        <v>-61229</v>
      </c>
      <c r="AT6" s="8">
        <f>AU6-AS6</f>
        <v>-66493</v>
      </c>
      <c r="AU6" s="174">
        <v>-127722</v>
      </c>
    </row>
    <row r="7" spans="1:48" x14ac:dyDescent="0.35">
      <c r="A7" s="272" t="s">
        <v>165</v>
      </c>
      <c r="B7" s="272" t="s">
        <v>68</v>
      </c>
      <c r="C7" s="273">
        <f>C4+C6</f>
        <v>65575</v>
      </c>
      <c r="D7" s="273">
        <f>D4+D6</f>
        <v>64762</v>
      </c>
      <c r="E7" s="208">
        <f t="shared" si="1"/>
        <v>130337</v>
      </c>
      <c r="F7" s="273">
        <f>F4+F6</f>
        <v>58908</v>
      </c>
      <c r="G7" s="208">
        <f t="shared" si="2"/>
        <v>189245</v>
      </c>
      <c r="H7" s="273">
        <f>H4+H6</f>
        <v>64591</v>
      </c>
      <c r="I7" s="274">
        <f t="shared" si="16"/>
        <v>253836</v>
      </c>
      <c r="J7" s="273">
        <f>J4+J6</f>
        <v>69947</v>
      </c>
      <c r="K7" s="273">
        <f>K4+K6</f>
        <v>67544</v>
      </c>
      <c r="L7" s="208">
        <f t="shared" si="3"/>
        <v>137491</v>
      </c>
      <c r="M7" s="273">
        <f>M4+M6</f>
        <v>69844</v>
      </c>
      <c r="N7" s="208">
        <f t="shared" si="4"/>
        <v>207335</v>
      </c>
      <c r="O7" s="273">
        <f>O6+O4</f>
        <v>70444</v>
      </c>
      <c r="P7" s="274">
        <f t="shared" si="5"/>
        <v>277779</v>
      </c>
      <c r="Q7" s="273">
        <f>Q4+Q6</f>
        <v>80241</v>
      </c>
      <c r="R7" s="273">
        <f>R4+R6</f>
        <v>79368</v>
      </c>
      <c r="S7" s="208">
        <f t="shared" si="6"/>
        <v>159609</v>
      </c>
      <c r="T7" s="273">
        <f>T4+T6</f>
        <v>76847</v>
      </c>
      <c r="U7" s="208">
        <f t="shared" si="7"/>
        <v>236456</v>
      </c>
      <c r="V7" s="273">
        <f>V4+V6</f>
        <v>82314</v>
      </c>
      <c r="W7" s="274">
        <f t="shared" si="8"/>
        <v>318770</v>
      </c>
      <c r="X7" s="273">
        <f>X4+X6</f>
        <v>78208</v>
      </c>
      <c r="Y7" s="273">
        <f>Y4+Y6</f>
        <v>88233</v>
      </c>
      <c r="Z7" s="208">
        <f t="shared" si="9"/>
        <v>166441</v>
      </c>
      <c r="AA7" s="273">
        <f>AA4+AA6</f>
        <v>85718</v>
      </c>
      <c r="AB7" s="208">
        <f t="shared" si="10"/>
        <v>252159</v>
      </c>
      <c r="AC7" s="273">
        <f>AC4+AC6</f>
        <v>97114</v>
      </c>
      <c r="AD7" s="274">
        <f t="shared" si="11"/>
        <v>349273</v>
      </c>
      <c r="AE7" s="273">
        <f>AE4+AE6</f>
        <v>95993</v>
      </c>
      <c r="AF7" s="273">
        <f>AF4+AF6</f>
        <v>110038</v>
      </c>
      <c r="AG7" s="208">
        <f t="shared" si="12"/>
        <v>206031</v>
      </c>
      <c r="AH7" s="273">
        <f>AH4+AH6</f>
        <v>130673</v>
      </c>
      <c r="AI7" s="208">
        <f t="shared" si="13"/>
        <v>336704</v>
      </c>
      <c r="AJ7" s="273">
        <f>AJ4+AJ6</f>
        <v>123760</v>
      </c>
      <c r="AK7" s="274">
        <f t="shared" si="14"/>
        <v>460464</v>
      </c>
      <c r="AL7" s="273">
        <f>AL4+AL6</f>
        <v>127363</v>
      </c>
      <c r="AM7" s="273">
        <f>AM4+AM6</f>
        <v>128944</v>
      </c>
      <c r="AN7" s="208">
        <f t="shared" si="0"/>
        <v>256307</v>
      </c>
      <c r="AO7" s="273">
        <f>AO4+AO6</f>
        <v>135019</v>
      </c>
      <c r="AP7" s="208">
        <f>SUM($AN7:$AO7)</f>
        <v>391326</v>
      </c>
      <c r="AQ7" s="273">
        <v>129998</v>
      </c>
      <c r="AR7" s="274">
        <v>521324</v>
      </c>
      <c r="AS7" s="273">
        <f>AS4+AS6</f>
        <v>142203</v>
      </c>
      <c r="AT7" s="273">
        <f>AT4+AT6</f>
        <v>149768</v>
      </c>
      <c r="AU7" s="208">
        <f>SUM($AS7:$AT7)</f>
        <v>291971</v>
      </c>
    </row>
    <row r="8" spans="1:48" x14ac:dyDescent="0.35">
      <c r="A8" s="102" t="s">
        <v>166</v>
      </c>
      <c r="B8" s="95" t="s">
        <v>167</v>
      </c>
      <c r="C8" s="8">
        <v>-30282</v>
      </c>
      <c r="D8" s="8">
        <v>-30335</v>
      </c>
      <c r="E8" s="174">
        <f t="shared" si="1"/>
        <v>-60617</v>
      </c>
      <c r="F8" s="8">
        <v>-27412</v>
      </c>
      <c r="G8" s="174">
        <f t="shared" si="2"/>
        <v>-88029</v>
      </c>
      <c r="H8" s="8">
        <v>-27555</v>
      </c>
      <c r="I8" s="9">
        <f t="shared" si="16"/>
        <v>-115584</v>
      </c>
      <c r="J8" s="8">
        <v>-31722</v>
      </c>
      <c r="K8" s="8">
        <v>-31555</v>
      </c>
      <c r="L8" s="174">
        <f t="shared" si="3"/>
        <v>-63277</v>
      </c>
      <c r="M8" s="8">
        <v>-27291</v>
      </c>
      <c r="N8" s="174">
        <f t="shared" si="4"/>
        <v>-90568</v>
      </c>
      <c r="O8" s="8">
        <v>-25736</v>
      </c>
      <c r="P8" s="9">
        <f t="shared" si="5"/>
        <v>-116304</v>
      </c>
      <c r="Q8" s="8">
        <v>-30736</v>
      </c>
      <c r="R8" s="8">
        <v>-24586</v>
      </c>
      <c r="S8" s="174">
        <f t="shared" si="6"/>
        <v>-55322</v>
      </c>
      <c r="T8" s="8">
        <v>-23598</v>
      </c>
      <c r="U8" s="174">
        <f t="shared" si="7"/>
        <v>-78920</v>
      </c>
      <c r="V8" s="8">
        <v>-26635</v>
      </c>
      <c r="W8" s="9">
        <f t="shared" si="8"/>
        <v>-105555</v>
      </c>
      <c r="X8" s="8">
        <v>-29058</v>
      </c>
      <c r="Y8" s="8">
        <v>-27688</v>
      </c>
      <c r="Z8" s="174">
        <f t="shared" si="9"/>
        <v>-56746</v>
      </c>
      <c r="AA8" s="8">
        <v>-27047</v>
      </c>
      <c r="AB8" s="174">
        <f t="shared" si="10"/>
        <v>-83793</v>
      </c>
      <c r="AC8" s="8">
        <v>-30803</v>
      </c>
      <c r="AD8" s="9">
        <f t="shared" si="11"/>
        <v>-114596</v>
      </c>
      <c r="AE8" s="8">
        <v>-32506</v>
      </c>
      <c r="AF8" s="8">
        <v>-34932</v>
      </c>
      <c r="AG8" s="174">
        <f t="shared" si="12"/>
        <v>-67438</v>
      </c>
      <c r="AH8" s="8">
        <v>-36009</v>
      </c>
      <c r="AI8" s="174">
        <f t="shared" si="13"/>
        <v>-103447</v>
      </c>
      <c r="AJ8" s="8">
        <v>-44040</v>
      </c>
      <c r="AK8" s="9">
        <f t="shared" si="14"/>
        <v>-147487</v>
      </c>
      <c r="AL8" s="8">
        <v>-36906</v>
      </c>
      <c r="AM8" s="8">
        <v>-38380</v>
      </c>
      <c r="AN8" s="174">
        <f t="shared" si="0"/>
        <v>-75286</v>
      </c>
      <c r="AO8" s="8">
        <v>-34805</v>
      </c>
      <c r="AP8" s="174">
        <f t="shared" si="15"/>
        <v>-110091</v>
      </c>
      <c r="AQ8" s="8">
        <v>-35956</v>
      </c>
      <c r="AR8" s="9">
        <v>-146047</v>
      </c>
      <c r="AS8" s="8">
        <v>-38937</v>
      </c>
      <c r="AT8" s="8">
        <f t="shared" ref="AT8:AT13" si="17">AU8-AS8</f>
        <v>-41864</v>
      </c>
      <c r="AU8" s="174">
        <v>-80801</v>
      </c>
    </row>
    <row r="9" spans="1:48" x14ac:dyDescent="0.35">
      <c r="A9" s="102" t="s">
        <v>168</v>
      </c>
      <c r="B9" s="95" t="s">
        <v>169</v>
      </c>
      <c r="C9" s="8">
        <v>-5865</v>
      </c>
      <c r="D9" s="8">
        <v>-6432</v>
      </c>
      <c r="E9" s="174">
        <f t="shared" si="1"/>
        <v>-12297</v>
      </c>
      <c r="F9" s="8">
        <v>-6183</v>
      </c>
      <c r="G9" s="174">
        <f t="shared" si="2"/>
        <v>-18480</v>
      </c>
      <c r="H9" s="8">
        <v>-5590</v>
      </c>
      <c r="I9" s="9">
        <f t="shared" si="16"/>
        <v>-24070</v>
      </c>
      <c r="J9" s="8">
        <v>-6421</v>
      </c>
      <c r="K9" s="8">
        <v>-7282</v>
      </c>
      <c r="L9" s="174">
        <f t="shared" si="3"/>
        <v>-13703</v>
      </c>
      <c r="M9" s="8">
        <v>-6627</v>
      </c>
      <c r="N9" s="174">
        <f t="shared" si="4"/>
        <v>-20330</v>
      </c>
      <c r="O9" s="8">
        <v>-8647</v>
      </c>
      <c r="P9" s="9">
        <f t="shared" si="5"/>
        <v>-28977</v>
      </c>
      <c r="Q9" s="8">
        <v>-6992</v>
      </c>
      <c r="R9" s="8">
        <v>-6981</v>
      </c>
      <c r="S9" s="174">
        <f t="shared" si="6"/>
        <v>-13973</v>
      </c>
      <c r="T9" s="8">
        <v>-7082</v>
      </c>
      <c r="U9" s="174">
        <f t="shared" si="7"/>
        <v>-21055</v>
      </c>
      <c r="V9" s="8">
        <v>-7156</v>
      </c>
      <c r="W9" s="9">
        <f t="shared" si="8"/>
        <v>-28211</v>
      </c>
      <c r="X9" s="8">
        <v>-7429</v>
      </c>
      <c r="Y9" s="8">
        <v>-7413</v>
      </c>
      <c r="Z9" s="174">
        <f t="shared" si="9"/>
        <v>-14842</v>
      </c>
      <c r="AA9" s="8">
        <v>-7149</v>
      </c>
      <c r="AB9" s="174">
        <f t="shared" si="10"/>
        <v>-21991</v>
      </c>
      <c r="AC9" s="8">
        <v>-6674</v>
      </c>
      <c r="AD9" s="9">
        <f t="shared" si="11"/>
        <v>-28665</v>
      </c>
      <c r="AE9" s="8">
        <v>-7493</v>
      </c>
      <c r="AF9" s="8">
        <v>-8531</v>
      </c>
      <c r="AG9" s="174">
        <f t="shared" si="12"/>
        <v>-16024</v>
      </c>
      <c r="AH9" s="8">
        <v>-8868</v>
      </c>
      <c r="AI9" s="174">
        <f t="shared" si="13"/>
        <v>-24892</v>
      </c>
      <c r="AJ9" s="8">
        <v>-9971</v>
      </c>
      <c r="AK9" s="9">
        <f t="shared" si="14"/>
        <v>-34863</v>
      </c>
      <c r="AL9" s="8">
        <v>-12212</v>
      </c>
      <c r="AM9" s="8">
        <v>-13318</v>
      </c>
      <c r="AN9" s="174">
        <f t="shared" si="0"/>
        <v>-25530</v>
      </c>
      <c r="AO9" s="8">
        <v>-12035</v>
      </c>
      <c r="AP9" s="174">
        <f t="shared" si="15"/>
        <v>-37565</v>
      </c>
      <c r="AQ9" s="8">
        <v>-13007</v>
      </c>
      <c r="AR9" s="9">
        <v>-50572</v>
      </c>
      <c r="AS9" s="8">
        <v>-13146</v>
      </c>
      <c r="AT9" s="8">
        <f t="shared" si="17"/>
        <v>-13672</v>
      </c>
      <c r="AU9" s="174">
        <v>-26818</v>
      </c>
    </row>
    <row r="10" spans="1:48" x14ac:dyDescent="0.35">
      <c r="A10" s="112" t="s">
        <v>170</v>
      </c>
      <c r="B10" s="95" t="s">
        <v>171</v>
      </c>
      <c r="C10" s="8">
        <v>-11343</v>
      </c>
      <c r="D10" s="8">
        <v>-10443</v>
      </c>
      <c r="E10" s="174">
        <f t="shared" si="1"/>
        <v>-21786</v>
      </c>
      <c r="F10" s="8">
        <v>-9043</v>
      </c>
      <c r="G10" s="174">
        <f t="shared" si="2"/>
        <v>-30829</v>
      </c>
      <c r="H10" s="8">
        <v>-9716</v>
      </c>
      <c r="I10" s="9">
        <f t="shared" si="16"/>
        <v>-40545</v>
      </c>
      <c r="J10" s="8">
        <v>-11701</v>
      </c>
      <c r="K10" s="8">
        <v>-12903</v>
      </c>
      <c r="L10" s="174">
        <f t="shared" si="3"/>
        <v>-24604</v>
      </c>
      <c r="M10" s="8">
        <v>-11938</v>
      </c>
      <c r="N10" s="174">
        <f t="shared" si="4"/>
        <v>-36542</v>
      </c>
      <c r="O10" s="8">
        <v>-12318</v>
      </c>
      <c r="P10" s="9">
        <f t="shared" si="5"/>
        <v>-48860</v>
      </c>
      <c r="Q10" s="8">
        <v>-15114</v>
      </c>
      <c r="R10" s="8">
        <v>-14375</v>
      </c>
      <c r="S10" s="174">
        <f t="shared" si="6"/>
        <v>-29489</v>
      </c>
      <c r="T10" s="8">
        <v>-13303</v>
      </c>
      <c r="U10" s="174">
        <f t="shared" si="7"/>
        <v>-42792</v>
      </c>
      <c r="V10" s="8">
        <v>-11185</v>
      </c>
      <c r="W10" s="9">
        <f t="shared" si="8"/>
        <v>-53977</v>
      </c>
      <c r="X10" s="8">
        <v>-15555</v>
      </c>
      <c r="Y10" s="8">
        <v>-16036</v>
      </c>
      <c r="Z10" s="174">
        <f t="shared" si="9"/>
        <v>-31591</v>
      </c>
      <c r="AA10" s="8">
        <v>-16528</v>
      </c>
      <c r="AB10" s="174">
        <f t="shared" si="10"/>
        <v>-48119</v>
      </c>
      <c r="AC10" s="8">
        <v>-12886</v>
      </c>
      <c r="AD10" s="9">
        <f t="shared" si="11"/>
        <v>-61005</v>
      </c>
      <c r="AE10" s="8">
        <v>-16969</v>
      </c>
      <c r="AF10" s="8">
        <v>-20106</v>
      </c>
      <c r="AG10" s="174">
        <f t="shared" si="12"/>
        <v>-37075</v>
      </c>
      <c r="AH10" s="8">
        <v>-18769</v>
      </c>
      <c r="AI10" s="174">
        <f t="shared" si="13"/>
        <v>-55844</v>
      </c>
      <c r="AJ10" s="8">
        <v>-19265</v>
      </c>
      <c r="AK10" s="9">
        <f t="shared" si="14"/>
        <v>-75109</v>
      </c>
      <c r="AL10" s="8">
        <v>-17150</v>
      </c>
      <c r="AM10" s="8">
        <v>-22203</v>
      </c>
      <c r="AN10" s="174">
        <f t="shared" si="0"/>
        <v>-39353</v>
      </c>
      <c r="AO10" s="8">
        <v>-19956</v>
      </c>
      <c r="AP10" s="174">
        <f t="shared" si="15"/>
        <v>-59309</v>
      </c>
      <c r="AQ10" s="8">
        <v>-19035</v>
      </c>
      <c r="AR10" s="9">
        <v>-78344</v>
      </c>
      <c r="AS10" s="8">
        <v>-22730</v>
      </c>
      <c r="AT10" s="8">
        <f t="shared" si="17"/>
        <v>-22637</v>
      </c>
      <c r="AU10" s="174">
        <v>-45367</v>
      </c>
      <c r="AV10" s="16"/>
    </row>
    <row r="11" spans="1:48" x14ac:dyDescent="0.35">
      <c r="A11" s="102" t="s">
        <v>172</v>
      </c>
      <c r="B11" s="102" t="s">
        <v>173</v>
      </c>
      <c r="C11" s="8">
        <v>-403</v>
      </c>
      <c r="D11" s="8">
        <v>450</v>
      </c>
      <c r="E11" s="174">
        <f t="shared" si="1"/>
        <v>47</v>
      </c>
      <c r="F11" s="8">
        <v>-419</v>
      </c>
      <c r="G11" s="174">
        <f t="shared" si="2"/>
        <v>-372</v>
      </c>
      <c r="H11" s="8">
        <v>-28632</v>
      </c>
      <c r="I11" s="9">
        <f t="shared" si="16"/>
        <v>-29004</v>
      </c>
      <c r="J11" s="8">
        <v>-2937</v>
      </c>
      <c r="K11" s="8">
        <v>1359</v>
      </c>
      <c r="L11" s="174">
        <f t="shared" si="3"/>
        <v>-1578</v>
      </c>
      <c r="M11" s="8">
        <v>-6496</v>
      </c>
      <c r="N11" s="174">
        <f t="shared" si="4"/>
        <v>-8074</v>
      </c>
      <c r="O11" s="8">
        <v>-36719</v>
      </c>
      <c r="P11" s="9">
        <f t="shared" si="5"/>
        <v>-44793</v>
      </c>
      <c r="Q11" s="8">
        <v>-2302</v>
      </c>
      <c r="R11" s="8">
        <v>-6044</v>
      </c>
      <c r="S11" s="174">
        <f t="shared" si="6"/>
        <v>-8346</v>
      </c>
      <c r="T11" s="8">
        <v>-3530</v>
      </c>
      <c r="U11" s="174">
        <f t="shared" si="7"/>
        <v>-11876</v>
      </c>
      <c r="V11" s="8">
        <v>-5391</v>
      </c>
      <c r="W11" s="9">
        <f t="shared" si="8"/>
        <v>-17267</v>
      </c>
      <c r="X11" s="8">
        <v>-1965</v>
      </c>
      <c r="Y11" s="8">
        <v>-574</v>
      </c>
      <c r="Z11" s="174">
        <f t="shared" si="9"/>
        <v>-2539</v>
      </c>
      <c r="AA11" s="8">
        <v>-1975</v>
      </c>
      <c r="AB11" s="174">
        <f t="shared" si="10"/>
        <v>-4514</v>
      </c>
      <c r="AC11" s="8">
        <v>-4979</v>
      </c>
      <c r="AD11" s="9">
        <f t="shared" si="11"/>
        <v>-9493</v>
      </c>
      <c r="AE11" s="8">
        <v>-1568</v>
      </c>
      <c r="AF11" s="8">
        <v>5610</v>
      </c>
      <c r="AG11" s="174">
        <f t="shared" si="12"/>
        <v>4042</v>
      </c>
      <c r="AH11" s="8">
        <v>-2459</v>
      </c>
      <c r="AI11" s="174">
        <f t="shared" si="13"/>
        <v>1583</v>
      </c>
      <c r="AJ11" s="8">
        <v>-52597</v>
      </c>
      <c r="AK11" s="9">
        <f t="shared" si="14"/>
        <v>-51014</v>
      </c>
      <c r="AL11" s="8">
        <f>2856-9715</f>
        <v>-6859</v>
      </c>
      <c r="AM11" s="8">
        <v>-14170</v>
      </c>
      <c r="AN11" s="174">
        <f t="shared" si="0"/>
        <v>-21029</v>
      </c>
      <c r="AO11" s="8">
        <v>-18489</v>
      </c>
      <c r="AP11" s="174">
        <f t="shared" si="15"/>
        <v>-39518</v>
      </c>
      <c r="AQ11" s="8">
        <v>-17026</v>
      </c>
      <c r="AR11" s="9">
        <v>-56544</v>
      </c>
      <c r="AS11" s="8">
        <v>-3650</v>
      </c>
      <c r="AT11" s="347">
        <f t="shared" si="17"/>
        <v>-9474</v>
      </c>
      <c r="AU11" s="174">
        <f>9535-22659</f>
        <v>-13124</v>
      </c>
    </row>
    <row r="12" spans="1:48" s="160" customFormat="1" x14ac:dyDescent="0.35">
      <c r="A12" s="193" t="s">
        <v>174</v>
      </c>
      <c r="B12" s="193" t="s">
        <v>175</v>
      </c>
      <c r="C12" s="194">
        <v>-1973</v>
      </c>
      <c r="D12" s="194">
        <v>-1188</v>
      </c>
      <c r="E12" s="277">
        <f t="shared" si="1"/>
        <v>-3161</v>
      </c>
      <c r="F12" s="194">
        <v>-1323</v>
      </c>
      <c r="G12" s="277">
        <f t="shared" si="2"/>
        <v>-4484</v>
      </c>
      <c r="H12" s="194">
        <v>-732</v>
      </c>
      <c r="I12" s="278">
        <f t="shared" si="16"/>
        <v>-5216</v>
      </c>
      <c r="J12" s="194">
        <v>-1435</v>
      </c>
      <c r="K12" s="194">
        <v>-1063</v>
      </c>
      <c r="L12" s="277">
        <f t="shared" si="3"/>
        <v>-2498</v>
      </c>
      <c r="M12" s="194">
        <v>-1309</v>
      </c>
      <c r="N12" s="277">
        <f t="shared" si="4"/>
        <v>-3807</v>
      </c>
      <c r="O12" s="194">
        <v>-124</v>
      </c>
      <c r="P12" s="278">
        <f t="shared" si="5"/>
        <v>-3931</v>
      </c>
      <c r="Q12" s="194">
        <v>-1793</v>
      </c>
      <c r="R12" s="194">
        <v>-1311</v>
      </c>
      <c r="S12" s="277">
        <f t="shared" si="6"/>
        <v>-3104</v>
      </c>
      <c r="T12" s="194">
        <v>-1443</v>
      </c>
      <c r="U12" s="277">
        <f t="shared" si="7"/>
        <v>-4547</v>
      </c>
      <c r="V12" s="194">
        <v>-1035</v>
      </c>
      <c r="W12" s="278">
        <f t="shared" si="8"/>
        <v>-5582</v>
      </c>
      <c r="X12" s="194">
        <v>-1869</v>
      </c>
      <c r="Y12" s="194">
        <v>-1336</v>
      </c>
      <c r="Z12" s="277">
        <f t="shared" si="9"/>
        <v>-3205</v>
      </c>
      <c r="AA12" s="194">
        <v>-1255</v>
      </c>
      <c r="AB12" s="277">
        <f t="shared" si="10"/>
        <v>-4460</v>
      </c>
      <c r="AC12" s="194">
        <v>-1086</v>
      </c>
      <c r="AD12" s="278">
        <f t="shared" si="11"/>
        <v>-5546</v>
      </c>
      <c r="AE12" s="194">
        <v>-2031</v>
      </c>
      <c r="AF12" s="194">
        <v>-1805</v>
      </c>
      <c r="AG12" s="277">
        <f t="shared" si="12"/>
        <v>-3836</v>
      </c>
      <c r="AH12" s="194">
        <v>-1786</v>
      </c>
      <c r="AI12" s="277">
        <f t="shared" si="13"/>
        <v>-5622</v>
      </c>
      <c r="AJ12" s="194">
        <v>-2105</v>
      </c>
      <c r="AK12" s="278">
        <f t="shared" si="14"/>
        <v>-7727</v>
      </c>
      <c r="AL12" s="194">
        <v>-2235</v>
      </c>
      <c r="AM12" s="194">
        <v>-3317</v>
      </c>
      <c r="AN12" s="277">
        <f t="shared" si="0"/>
        <v>-5552</v>
      </c>
      <c r="AO12" s="194">
        <v>-3218</v>
      </c>
      <c r="AP12" s="277">
        <f t="shared" si="15"/>
        <v>-8770</v>
      </c>
      <c r="AQ12" s="194">
        <v>-2853</v>
      </c>
      <c r="AR12" s="278">
        <v>-11623</v>
      </c>
      <c r="AS12" s="194">
        <v>-3601</v>
      </c>
      <c r="AT12" s="434">
        <f t="shared" si="17"/>
        <v>-2102</v>
      </c>
      <c r="AU12" s="277">
        <v>-5703</v>
      </c>
    </row>
    <row r="13" spans="1:48" s="160" customFormat="1" x14ac:dyDescent="0.35">
      <c r="A13" s="193" t="s">
        <v>176</v>
      </c>
      <c r="B13" s="193" t="s">
        <v>177</v>
      </c>
      <c r="C13" s="194">
        <v>0</v>
      </c>
      <c r="D13" s="194">
        <v>0</v>
      </c>
      <c r="E13" s="277">
        <v>0</v>
      </c>
      <c r="F13" s="194">
        <v>0</v>
      </c>
      <c r="G13" s="277">
        <v>0</v>
      </c>
      <c r="H13" s="194">
        <v>0</v>
      </c>
      <c r="I13" s="278">
        <v>0</v>
      </c>
      <c r="J13" s="194">
        <v>0</v>
      </c>
      <c r="K13" s="194">
        <v>0</v>
      </c>
      <c r="L13" s="277">
        <v>0</v>
      </c>
      <c r="M13" s="194">
        <v>0</v>
      </c>
      <c r="N13" s="277">
        <v>0</v>
      </c>
      <c r="O13" s="194">
        <v>0</v>
      </c>
      <c r="P13" s="278">
        <v>0</v>
      </c>
      <c r="Q13" s="194">
        <v>0</v>
      </c>
      <c r="R13" s="194">
        <v>0</v>
      </c>
      <c r="S13" s="277">
        <v>0</v>
      </c>
      <c r="T13" s="194">
        <v>0</v>
      </c>
      <c r="U13" s="277">
        <v>0</v>
      </c>
      <c r="V13" s="194">
        <v>0</v>
      </c>
      <c r="W13" s="278">
        <v>0</v>
      </c>
      <c r="X13" s="194">
        <v>0</v>
      </c>
      <c r="Y13" s="194">
        <v>234</v>
      </c>
      <c r="Z13" s="277">
        <f t="shared" si="9"/>
        <v>234</v>
      </c>
      <c r="AA13" s="194">
        <v>1208</v>
      </c>
      <c r="AB13" s="277">
        <f t="shared" si="10"/>
        <v>1442</v>
      </c>
      <c r="AC13" s="194">
        <v>1630</v>
      </c>
      <c r="AD13" s="278">
        <f t="shared" si="11"/>
        <v>3072</v>
      </c>
      <c r="AE13" s="194">
        <v>14</v>
      </c>
      <c r="AF13" s="194">
        <v>8616</v>
      </c>
      <c r="AG13" s="277">
        <f t="shared" si="12"/>
        <v>8630</v>
      </c>
      <c r="AH13" s="194">
        <v>79</v>
      </c>
      <c r="AI13" s="277">
        <f t="shared" si="13"/>
        <v>8709</v>
      </c>
      <c r="AJ13" s="194">
        <v>1914</v>
      </c>
      <c r="AK13" s="278">
        <f t="shared" si="14"/>
        <v>10623</v>
      </c>
      <c r="AL13" s="194">
        <v>8</v>
      </c>
      <c r="AM13" s="194">
        <v>589</v>
      </c>
      <c r="AN13" s="277">
        <f t="shared" si="0"/>
        <v>597</v>
      </c>
      <c r="AO13" s="194">
        <v>0</v>
      </c>
      <c r="AP13" s="277">
        <f t="shared" si="15"/>
        <v>597</v>
      </c>
      <c r="AQ13" s="194" t="s">
        <v>178</v>
      </c>
      <c r="AR13" s="278">
        <v>597</v>
      </c>
      <c r="AS13" s="194">
        <v>1236</v>
      </c>
      <c r="AT13" s="434">
        <f t="shared" si="17"/>
        <v>1443</v>
      </c>
      <c r="AU13" s="277">
        <v>2679</v>
      </c>
    </row>
    <row r="14" spans="1:48" x14ac:dyDescent="0.35">
      <c r="A14" s="102" t="s">
        <v>179</v>
      </c>
      <c r="B14" s="102" t="s">
        <v>180</v>
      </c>
      <c r="C14" s="8">
        <v>0</v>
      </c>
      <c r="D14" s="8">
        <v>0</v>
      </c>
      <c r="E14" s="174">
        <v>0</v>
      </c>
      <c r="F14" s="8">
        <v>0</v>
      </c>
      <c r="G14" s="174">
        <v>0</v>
      </c>
      <c r="H14" s="8">
        <v>407</v>
      </c>
      <c r="I14" s="9">
        <f t="shared" si="16"/>
        <v>407</v>
      </c>
      <c r="J14" s="8">
        <v>32</v>
      </c>
      <c r="K14" s="8">
        <v>49</v>
      </c>
      <c r="L14" s="174">
        <f t="shared" si="3"/>
        <v>81</v>
      </c>
      <c r="M14" s="8">
        <v>223</v>
      </c>
      <c r="N14" s="174">
        <f t="shared" si="4"/>
        <v>304</v>
      </c>
      <c r="O14" s="8">
        <v>747</v>
      </c>
      <c r="P14" s="9">
        <f t="shared" si="5"/>
        <v>1051</v>
      </c>
      <c r="Q14" s="8">
        <v>102</v>
      </c>
      <c r="R14" s="8">
        <v>-259</v>
      </c>
      <c r="S14" s="174">
        <f t="shared" si="6"/>
        <v>-157</v>
      </c>
      <c r="T14" s="8">
        <v>627</v>
      </c>
      <c r="U14" s="174">
        <f t="shared" si="7"/>
        <v>470</v>
      </c>
      <c r="V14" s="8">
        <v>859</v>
      </c>
      <c r="W14" s="9">
        <f t="shared" si="8"/>
        <v>1329</v>
      </c>
      <c r="X14" s="8">
        <v>183</v>
      </c>
      <c r="Y14" s="8">
        <v>-106</v>
      </c>
      <c r="Z14" s="174">
        <f t="shared" si="9"/>
        <v>77</v>
      </c>
      <c r="AA14" s="8">
        <v>115</v>
      </c>
      <c r="AB14" s="174">
        <f t="shared" si="10"/>
        <v>192</v>
      </c>
      <c r="AC14" s="8">
        <v>126</v>
      </c>
      <c r="AD14" s="9">
        <f t="shared" si="11"/>
        <v>318</v>
      </c>
      <c r="AE14" s="8">
        <v>26</v>
      </c>
      <c r="AF14" s="8">
        <v>-107</v>
      </c>
      <c r="AG14" s="174">
        <f t="shared" si="12"/>
        <v>-81</v>
      </c>
      <c r="AH14" s="8">
        <v>272</v>
      </c>
      <c r="AI14" s="174">
        <f t="shared" si="13"/>
        <v>191</v>
      </c>
      <c r="AJ14" s="8">
        <v>1373</v>
      </c>
      <c r="AK14" s="9">
        <f t="shared" si="14"/>
        <v>1564</v>
      </c>
      <c r="AL14" s="8">
        <v>-105</v>
      </c>
      <c r="AM14" s="8">
        <v>9</v>
      </c>
      <c r="AN14" s="174">
        <f t="shared" si="0"/>
        <v>-96</v>
      </c>
      <c r="AO14" s="8">
        <v>-336</v>
      </c>
      <c r="AP14" s="174">
        <f t="shared" si="15"/>
        <v>-432</v>
      </c>
      <c r="AQ14" s="8">
        <v>-21</v>
      </c>
      <c r="AR14" s="9">
        <v>-453</v>
      </c>
      <c r="AS14" s="8">
        <v>-133</v>
      </c>
      <c r="AT14" s="8">
        <f t="shared" ref="AT14:AT23" si="18">AU14-AS14</f>
        <v>757</v>
      </c>
      <c r="AU14" s="174">
        <v>624</v>
      </c>
    </row>
    <row r="15" spans="1:48" x14ac:dyDescent="0.35">
      <c r="A15" s="272" t="s">
        <v>181</v>
      </c>
      <c r="B15" s="272" t="s">
        <v>182</v>
      </c>
      <c r="C15" s="273">
        <f t="shared" ref="C15:O15" si="19">C7+C8+C9+C10+C11+C14</f>
        <v>17682</v>
      </c>
      <c r="D15" s="273">
        <f t="shared" si="19"/>
        <v>18002</v>
      </c>
      <c r="E15" s="208">
        <f t="shared" si="1"/>
        <v>35684</v>
      </c>
      <c r="F15" s="273">
        <f t="shared" si="19"/>
        <v>15851</v>
      </c>
      <c r="G15" s="208">
        <f t="shared" si="2"/>
        <v>51535</v>
      </c>
      <c r="H15" s="17">
        <f t="shared" si="19"/>
        <v>-6495</v>
      </c>
      <c r="I15" s="274">
        <f t="shared" si="16"/>
        <v>45040</v>
      </c>
      <c r="J15" s="273">
        <f t="shared" si="19"/>
        <v>17198</v>
      </c>
      <c r="K15" s="273">
        <f t="shared" si="19"/>
        <v>17212</v>
      </c>
      <c r="L15" s="208">
        <f t="shared" si="3"/>
        <v>34410</v>
      </c>
      <c r="M15" s="273">
        <f t="shared" si="19"/>
        <v>17715</v>
      </c>
      <c r="N15" s="208">
        <f t="shared" si="4"/>
        <v>52125</v>
      </c>
      <c r="O15" s="17">
        <f t="shared" si="19"/>
        <v>-12229</v>
      </c>
      <c r="P15" s="274">
        <f t="shared" si="5"/>
        <v>39896</v>
      </c>
      <c r="Q15" s="273">
        <f>Q7+Q8+Q9+Q10+Q11+Q14</f>
        <v>25199</v>
      </c>
      <c r="R15" s="273">
        <f>R7+R8+R9+R10+R11+R14</f>
        <v>27123</v>
      </c>
      <c r="S15" s="208">
        <f t="shared" si="6"/>
        <v>52322</v>
      </c>
      <c r="T15" s="273">
        <f>T7+T8+T9+T10+T11+T14</f>
        <v>29961</v>
      </c>
      <c r="U15" s="208">
        <f t="shared" si="7"/>
        <v>82283</v>
      </c>
      <c r="V15" s="273">
        <f>V7+V8+V9+V10+V11+V14</f>
        <v>32806</v>
      </c>
      <c r="W15" s="274">
        <f t="shared" si="8"/>
        <v>115089</v>
      </c>
      <c r="X15" s="273">
        <f>X7+X8+X9+X10+X11+X14</f>
        <v>24384</v>
      </c>
      <c r="Y15" s="273">
        <f>Y7+Y8+Y9+Y10+Y11+Y14</f>
        <v>36416</v>
      </c>
      <c r="Z15" s="208">
        <f t="shared" si="9"/>
        <v>60800</v>
      </c>
      <c r="AA15" s="273">
        <f>AA7+AA8+AA9+AA10+AA11+AA14</f>
        <v>33134</v>
      </c>
      <c r="AB15" s="208">
        <f t="shared" si="10"/>
        <v>93934</v>
      </c>
      <c r="AC15" s="273">
        <f>AC7+AC8+AC9+AC10+AC11+AC14</f>
        <v>41898</v>
      </c>
      <c r="AD15" s="274">
        <f t="shared" si="11"/>
        <v>135832</v>
      </c>
      <c r="AE15" s="273">
        <f>AE7+AE8+AE9+AE10+AE11+AE14</f>
        <v>37483</v>
      </c>
      <c r="AF15" s="273">
        <f>AF7+AF8+AF9+AF10+AF11+AF14</f>
        <v>51972</v>
      </c>
      <c r="AG15" s="208">
        <f>SUM($AE15:$AF15)</f>
        <v>89455</v>
      </c>
      <c r="AH15" s="273">
        <f>AH7+AH8+AH9+AH10+AH11+AH14</f>
        <v>64840</v>
      </c>
      <c r="AI15" s="208">
        <f t="shared" si="13"/>
        <v>154295</v>
      </c>
      <c r="AJ15" s="17">
        <f>AJ7+AJ8+AJ9+AJ10+AJ11+AJ14</f>
        <v>-740</v>
      </c>
      <c r="AK15" s="274">
        <f t="shared" si="14"/>
        <v>153555</v>
      </c>
      <c r="AL15" s="273">
        <f>AL7+AL8+AL9+AL10+AL11+AL14</f>
        <v>54131</v>
      </c>
      <c r="AM15" s="273">
        <f>AM7+AM8+AM9+AM10+AM11+AM14</f>
        <v>40882</v>
      </c>
      <c r="AN15" s="208">
        <f t="shared" si="0"/>
        <v>95013</v>
      </c>
      <c r="AO15" s="273">
        <f>AO7+AO8+AO9+AO10+AO11+AO14</f>
        <v>49398</v>
      </c>
      <c r="AP15" s="208">
        <f t="shared" si="15"/>
        <v>144411</v>
      </c>
      <c r="AQ15" s="273">
        <v>44953</v>
      </c>
      <c r="AR15" s="274">
        <v>189364</v>
      </c>
      <c r="AS15" s="273">
        <f>AS7+AS8+AS9+AS10+AS11+AS14</f>
        <v>63607</v>
      </c>
      <c r="AT15" s="273">
        <f t="shared" si="18"/>
        <v>62878</v>
      </c>
      <c r="AU15" s="208">
        <v>126485</v>
      </c>
    </row>
    <row r="16" spans="1:48" x14ac:dyDescent="0.35">
      <c r="A16" s="102" t="s">
        <v>183</v>
      </c>
      <c r="B16" s="102" t="s">
        <v>184</v>
      </c>
      <c r="C16" s="8">
        <v>3656</v>
      </c>
      <c r="D16" s="8">
        <v>14169</v>
      </c>
      <c r="E16" s="174">
        <f t="shared" si="1"/>
        <v>17825</v>
      </c>
      <c r="F16" s="8">
        <v>-1043</v>
      </c>
      <c r="G16" s="174">
        <f t="shared" si="2"/>
        <v>16782</v>
      </c>
      <c r="H16" s="8">
        <v>2503</v>
      </c>
      <c r="I16" s="9">
        <f t="shared" si="16"/>
        <v>19285</v>
      </c>
      <c r="J16" s="8">
        <v>7546</v>
      </c>
      <c r="K16" s="8">
        <v>2995</v>
      </c>
      <c r="L16" s="174">
        <f t="shared" si="3"/>
        <v>10541</v>
      </c>
      <c r="M16" s="8">
        <v>9473</v>
      </c>
      <c r="N16" s="174">
        <f t="shared" si="4"/>
        <v>20014</v>
      </c>
      <c r="O16" s="8">
        <v>486</v>
      </c>
      <c r="P16" s="9">
        <f t="shared" si="5"/>
        <v>20500</v>
      </c>
      <c r="Q16" s="8">
        <v>14866</v>
      </c>
      <c r="R16" s="8">
        <v>5343</v>
      </c>
      <c r="S16" s="174">
        <f t="shared" si="6"/>
        <v>20209</v>
      </c>
      <c r="T16" s="8">
        <v>3127</v>
      </c>
      <c r="U16" s="174">
        <f t="shared" si="7"/>
        <v>23336</v>
      </c>
      <c r="V16" s="8">
        <v>5444</v>
      </c>
      <c r="W16" s="9">
        <f t="shared" si="8"/>
        <v>28780</v>
      </c>
      <c r="X16" s="8">
        <v>5876</v>
      </c>
      <c r="Y16" s="8">
        <v>1071</v>
      </c>
      <c r="Z16" s="174">
        <f t="shared" si="9"/>
        <v>6947</v>
      </c>
      <c r="AA16" s="8">
        <v>11279</v>
      </c>
      <c r="AB16" s="174">
        <f t="shared" si="10"/>
        <v>18226</v>
      </c>
      <c r="AC16" s="8">
        <v>11880</v>
      </c>
      <c r="AD16" s="9">
        <f t="shared" si="11"/>
        <v>30106</v>
      </c>
      <c r="AE16" s="8">
        <v>16479</v>
      </c>
      <c r="AF16" s="8">
        <v>52022</v>
      </c>
      <c r="AG16" s="174">
        <f t="shared" si="12"/>
        <v>68501</v>
      </c>
      <c r="AH16" s="18">
        <v>28538</v>
      </c>
      <c r="AI16" s="176">
        <f t="shared" si="13"/>
        <v>97039</v>
      </c>
      <c r="AJ16" s="8">
        <v>-8236</v>
      </c>
      <c r="AK16" s="9">
        <f t="shared" si="14"/>
        <v>88803</v>
      </c>
      <c r="AL16" s="8">
        <v>21205</v>
      </c>
      <c r="AM16" s="18">
        <v>31179</v>
      </c>
      <c r="AN16" s="176">
        <f t="shared" si="0"/>
        <v>52384</v>
      </c>
      <c r="AO16" s="8">
        <v>22271</v>
      </c>
      <c r="AP16" s="174">
        <f t="shared" si="15"/>
        <v>74655</v>
      </c>
      <c r="AQ16" s="8">
        <v>9386</v>
      </c>
      <c r="AR16" s="9">
        <v>84041</v>
      </c>
      <c r="AS16" s="18">
        <v>27136</v>
      </c>
      <c r="AT16" s="18">
        <f t="shared" si="18"/>
        <v>25379</v>
      </c>
      <c r="AU16" s="176">
        <v>52515</v>
      </c>
    </row>
    <row r="17" spans="1:47" x14ac:dyDescent="0.35">
      <c r="A17" s="102" t="s">
        <v>185</v>
      </c>
      <c r="B17" s="102" t="s">
        <v>186</v>
      </c>
      <c r="C17" s="8">
        <v>-6054</v>
      </c>
      <c r="D17" s="8">
        <v>-6015</v>
      </c>
      <c r="E17" s="174">
        <f t="shared" si="1"/>
        <v>-12069</v>
      </c>
      <c r="F17" s="8">
        <v>-3144</v>
      </c>
      <c r="G17" s="174">
        <f t="shared" si="2"/>
        <v>-15213</v>
      </c>
      <c r="H17" s="8">
        <v>-6214</v>
      </c>
      <c r="I17" s="9">
        <f t="shared" si="16"/>
        <v>-21427</v>
      </c>
      <c r="J17" s="8">
        <v>-2305</v>
      </c>
      <c r="K17" s="8">
        <v>-1100</v>
      </c>
      <c r="L17" s="174">
        <f t="shared" si="3"/>
        <v>-3405</v>
      </c>
      <c r="M17" s="8">
        <v>-985</v>
      </c>
      <c r="N17" s="174">
        <f t="shared" si="4"/>
        <v>-4390</v>
      </c>
      <c r="O17" s="8">
        <v>-5816</v>
      </c>
      <c r="P17" s="9">
        <f t="shared" si="5"/>
        <v>-10206</v>
      </c>
      <c r="Q17" s="8">
        <v>-9149</v>
      </c>
      <c r="R17" s="8">
        <v>-1609</v>
      </c>
      <c r="S17" s="174">
        <f t="shared" si="6"/>
        <v>-10758</v>
      </c>
      <c r="T17" s="8">
        <v>-7657</v>
      </c>
      <c r="U17" s="174">
        <f t="shared" si="7"/>
        <v>-18415</v>
      </c>
      <c r="V17" s="8">
        <v>-11190</v>
      </c>
      <c r="W17" s="9">
        <f t="shared" si="8"/>
        <v>-29605</v>
      </c>
      <c r="X17" s="8">
        <v>-4472</v>
      </c>
      <c r="Y17" s="8">
        <v>-7229</v>
      </c>
      <c r="Z17" s="174">
        <f t="shared" si="9"/>
        <v>-11701</v>
      </c>
      <c r="AA17" s="8">
        <v>-4719</v>
      </c>
      <c r="AB17" s="174">
        <f t="shared" si="10"/>
        <v>-16420</v>
      </c>
      <c r="AC17" s="8">
        <v>-6053</v>
      </c>
      <c r="AD17" s="9">
        <f t="shared" si="11"/>
        <v>-22473</v>
      </c>
      <c r="AE17" s="8">
        <v>-15142</v>
      </c>
      <c r="AF17" s="8">
        <v>-23316</v>
      </c>
      <c r="AG17" s="174">
        <f t="shared" si="12"/>
        <v>-38458</v>
      </c>
      <c r="AH17" s="8">
        <v>-7271</v>
      </c>
      <c r="AI17" s="174">
        <f t="shared" si="13"/>
        <v>-45729</v>
      </c>
      <c r="AJ17" s="8">
        <v>-37116</v>
      </c>
      <c r="AK17" s="9">
        <f t="shared" si="14"/>
        <v>-82845</v>
      </c>
      <c r="AL17" s="8">
        <v>-38334</v>
      </c>
      <c r="AM17" s="8">
        <v>-38911</v>
      </c>
      <c r="AN17" s="174">
        <f t="shared" si="0"/>
        <v>-77245</v>
      </c>
      <c r="AO17" s="8">
        <v>-15847</v>
      </c>
      <c r="AP17" s="174">
        <f t="shared" si="15"/>
        <v>-93092</v>
      </c>
      <c r="AQ17" s="8">
        <v>-14907</v>
      </c>
      <c r="AR17" s="9">
        <v>-107999</v>
      </c>
      <c r="AS17" s="8">
        <v>-11516</v>
      </c>
      <c r="AT17" s="8">
        <f t="shared" si="18"/>
        <v>-16757</v>
      </c>
      <c r="AU17" s="174">
        <v>-28273</v>
      </c>
    </row>
    <row r="18" spans="1:47" x14ac:dyDescent="0.35">
      <c r="A18" s="103" t="s">
        <v>187</v>
      </c>
      <c r="B18" s="103" t="s">
        <v>188</v>
      </c>
      <c r="C18" s="29">
        <v>-2398</v>
      </c>
      <c r="D18" s="29">
        <v>8154</v>
      </c>
      <c r="E18" s="175">
        <f t="shared" si="1"/>
        <v>5756</v>
      </c>
      <c r="F18" s="29">
        <v>-4187</v>
      </c>
      <c r="G18" s="175">
        <f t="shared" si="2"/>
        <v>1569</v>
      </c>
      <c r="H18" s="29">
        <v>-3711</v>
      </c>
      <c r="I18" s="149">
        <f t="shared" si="16"/>
        <v>-2142</v>
      </c>
      <c r="J18" s="29">
        <v>5241</v>
      </c>
      <c r="K18" s="29">
        <v>1895</v>
      </c>
      <c r="L18" s="175">
        <f t="shared" si="3"/>
        <v>7136</v>
      </c>
      <c r="M18" s="29">
        <v>8488</v>
      </c>
      <c r="N18" s="175">
        <f t="shared" si="4"/>
        <v>15624</v>
      </c>
      <c r="O18" s="29">
        <v>-5330</v>
      </c>
      <c r="P18" s="149">
        <f t="shared" si="5"/>
        <v>10294</v>
      </c>
      <c r="Q18" s="29">
        <v>5717</v>
      </c>
      <c r="R18" s="29">
        <v>3734</v>
      </c>
      <c r="S18" s="175">
        <f t="shared" si="6"/>
        <v>9451</v>
      </c>
      <c r="T18" s="29">
        <v>-4530</v>
      </c>
      <c r="U18" s="175">
        <f t="shared" si="7"/>
        <v>4921</v>
      </c>
      <c r="V18" s="29">
        <v>-5746</v>
      </c>
      <c r="W18" s="149">
        <f t="shared" si="8"/>
        <v>-825</v>
      </c>
      <c r="X18" s="8">
        <v>1404</v>
      </c>
      <c r="Y18" s="8">
        <v>-6158</v>
      </c>
      <c r="Z18" s="174">
        <f t="shared" si="9"/>
        <v>-4754</v>
      </c>
      <c r="AA18" s="8">
        <v>6560</v>
      </c>
      <c r="AB18" s="174">
        <f t="shared" si="10"/>
        <v>1806</v>
      </c>
      <c r="AC18" s="8">
        <v>5827</v>
      </c>
      <c r="AD18" s="149">
        <f t="shared" si="11"/>
        <v>7633</v>
      </c>
      <c r="AE18" s="8">
        <v>1337</v>
      </c>
      <c r="AF18" s="29">
        <v>28706</v>
      </c>
      <c r="AG18" s="175">
        <f t="shared" si="12"/>
        <v>30043</v>
      </c>
      <c r="AH18" s="3">
        <v>21267</v>
      </c>
      <c r="AI18" s="171">
        <f t="shared" si="13"/>
        <v>51310</v>
      </c>
      <c r="AJ18" s="29">
        <v>-45352</v>
      </c>
      <c r="AK18" s="149">
        <f t="shared" si="14"/>
        <v>5958</v>
      </c>
      <c r="AL18" s="29">
        <v>-17129</v>
      </c>
      <c r="AM18" s="29">
        <v>-7732</v>
      </c>
      <c r="AN18" s="175">
        <f t="shared" si="0"/>
        <v>-24861</v>
      </c>
      <c r="AO18" s="29">
        <v>6424</v>
      </c>
      <c r="AP18" s="175">
        <f t="shared" si="15"/>
        <v>-18437</v>
      </c>
      <c r="AQ18" s="29">
        <v>-5521</v>
      </c>
      <c r="AR18" s="149">
        <v>-23958</v>
      </c>
      <c r="AS18" s="29">
        <f>AS16+AS17</f>
        <v>15620</v>
      </c>
      <c r="AT18" s="29">
        <f t="shared" si="18"/>
        <v>8622</v>
      </c>
      <c r="AU18" s="175">
        <v>24242</v>
      </c>
    </row>
    <row r="19" spans="1:47" x14ac:dyDescent="0.35">
      <c r="A19" s="102" t="s">
        <v>189</v>
      </c>
      <c r="B19" s="102" t="s">
        <v>190</v>
      </c>
      <c r="C19" s="8">
        <v>337</v>
      </c>
      <c r="D19" s="8">
        <v>359</v>
      </c>
      <c r="E19" s="174">
        <f t="shared" si="1"/>
        <v>696</v>
      </c>
      <c r="F19" s="8">
        <v>103</v>
      </c>
      <c r="G19" s="174">
        <f t="shared" si="2"/>
        <v>799</v>
      </c>
      <c r="H19" s="8">
        <v>256</v>
      </c>
      <c r="I19" s="9">
        <f t="shared" si="16"/>
        <v>1055</v>
      </c>
      <c r="J19" s="8">
        <v>325</v>
      </c>
      <c r="K19" s="8">
        <v>224</v>
      </c>
      <c r="L19" s="174">
        <f t="shared" si="3"/>
        <v>549</v>
      </c>
      <c r="M19" s="8">
        <v>440</v>
      </c>
      <c r="N19" s="174">
        <f t="shared" si="4"/>
        <v>989</v>
      </c>
      <c r="O19" s="8">
        <v>-331</v>
      </c>
      <c r="P19" s="9">
        <f t="shared" si="5"/>
        <v>658</v>
      </c>
      <c r="Q19" s="8">
        <v>984</v>
      </c>
      <c r="R19" s="8">
        <v>364</v>
      </c>
      <c r="S19" s="174">
        <f t="shared" si="6"/>
        <v>1348</v>
      </c>
      <c r="T19" s="8">
        <v>484</v>
      </c>
      <c r="U19" s="174">
        <f t="shared" si="7"/>
        <v>1832</v>
      </c>
      <c r="V19" s="8">
        <v>-932</v>
      </c>
      <c r="W19" s="9">
        <f t="shared" si="8"/>
        <v>900</v>
      </c>
      <c r="X19" s="8">
        <v>1084</v>
      </c>
      <c r="Y19" s="8">
        <v>367</v>
      </c>
      <c r="Z19" s="174">
        <f t="shared" si="9"/>
        <v>1451</v>
      </c>
      <c r="AA19" s="8">
        <v>968</v>
      </c>
      <c r="AB19" s="174">
        <f t="shared" si="10"/>
        <v>2419</v>
      </c>
      <c r="AC19" s="8">
        <v>691</v>
      </c>
      <c r="AD19" s="9">
        <f t="shared" si="11"/>
        <v>3110</v>
      </c>
      <c r="AE19" s="8">
        <v>1637</v>
      </c>
      <c r="AF19" s="8">
        <v>812</v>
      </c>
      <c r="AG19" s="174">
        <f t="shared" si="12"/>
        <v>2449</v>
      </c>
      <c r="AH19" s="18">
        <v>1350</v>
      </c>
      <c r="AI19" s="176">
        <f t="shared" si="13"/>
        <v>3799</v>
      </c>
      <c r="AJ19" s="8">
        <v>2351</v>
      </c>
      <c r="AK19" s="9">
        <f t="shared" si="14"/>
        <v>6150</v>
      </c>
      <c r="AL19" s="8">
        <v>994</v>
      </c>
      <c r="AM19" s="3">
        <v>1708</v>
      </c>
      <c r="AN19" s="171">
        <f t="shared" si="0"/>
        <v>2702</v>
      </c>
      <c r="AO19" s="8">
        <v>1573</v>
      </c>
      <c r="AP19" s="174">
        <f t="shared" si="15"/>
        <v>4275</v>
      </c>
      <c r="AQ19" s="8">
        <v>1859</v>
      </c>
      <c r="AR19" s="9">
        <v>6134</v>
      </c>
      <c r="AS19" s="347">
        <v>3042</v>
      </c>
      <c r="AT19" s="3">
        <f t="shared" si="18"/>
        <v>2860</v>
      </c>
      <c r="AU19" s="171">
        <v>5902</v>
      </c>
    </row>
    <row r="20" spans="1:47" s="31" customFormat="1" x14ac:dyDescent="0.35">
      <c r="A20" s="103" t="s">
        <v>191</v>
      </c>
      <c r="B20" s="103" t="s">
        <v>192</v>
      </c>
      <c r="C20" s="29">
        <v>15621</v>
      </c>
      <c r="D20" s="29">
        <v>26515</v>
      </c>
      <c r="E20" s="175">
        <f t="shared" si="1"/>
        <v>42136</v>
      </c>
      <c r="F20" s="29">
        <v>11767</v>
      </c>
      <c r="G20" s="175">
        <f t="shared" si="2"/>
        <v>53903</v>
      </c>
      <c r="H20" s="29">
        <v>-9950</v>
      </c>
      <c r="I20" s="149">
        <f t="shared" si="16"/>
        <v>43953</v>
      </c>
      <c r="J20" s="29">
        <v>22764</v>
      </c>
      <c r="K20" s="29">
        <v>19331</v>
      </c>
      <c r="L20" s="175">
        <f t="shared" si="3"/>
        <v>42095</v>
      </c>
      <c r="M20" s="29">
        <v>26643</v>
      </c>
      <c r="N20" s="175">
        <f t="shared" si="4"/>
        <v>68738</v>
      </c>
      <c r="O20" s="29">
        <v>-17890</v>
      </c>
      <c r="P20" s="149">
        <f t="shared" si="5"/>
        <v>50848</v>
      </c>
      <c r="Q20" s="29">
        <v>31900</v>
      </c>
      <c r="R20" s="29">
        <v>31221</v>
      </c>
      <c r="S20" s="175">
        <f t="shared" si="6"/>
        <v>63121</v>
      </c>
      <c r="T20" s="29">
        <v>25915</v>
      </c>
      <c r="U20" s="175">
        <f t="shared" si="7"/>
        <v>89036</v>
      </c>
      <c r="V20" s="29">
        <v>26128</v>
      </c>
      <c r="W20" s="149">
        <f t="shared" si="8"/>
        <v>115164</v>
      </c>
      <c r="X20" s="29">
        <v>26872</v>
      </c>
      <c r="Y20" s="29">
        <v>30625</v>
      </c>
      <c r="Z20" s="175">
        <f t="shared" si="9"/>
        <v>57497</v>
      </c>
      <c r="AA20" s="29">
        <v>40662</v>
      </c>
      <c r="AB20" s="175">
        <f t="shared" si="10"/>
        <v>98159</v>
      </c>
      <c r="AC20" s="29">
        <v>48416</v>
      </c>
      <c r="AD20" s="149">
        <f t="shared" si="11"/>
        <v>146575</v>
      </c>
      <c r="AE20" s="29">
        <v>40457</v>
      </c>
      <c r="AF20" s="29">
        <v>81490</v>
      </c>
      <c r="AG20" s="175">
        <f t="shared" si="12"/>
        <v>121947</v>
      </c>
      <c r="AH20" s="3">
        <v>87457</v>
      </c>
      <c r="AI20" s="171">
        <f t="shared" si="13"/>
        <v>209404</v>
      </c>
      <c r="AJ20" s="29">
        <v>-43741</v>
      </c>
      <c r="AK20" s="149">
        <f t="shared" si="14"/>
        <v>165663</v>
      </c>
      <c r="AL20" s="29">
        <v>37996</v>
      </c>
      <c r="AM20" s="29">
        <v>34858</v>
      </c>
      <c r="AN20" s="175">
        <f t="shared" si="0"/>
        <v>72854</v>
      </c>
      <c r="AO20" s="29">
        <v>57395</v>
      </c>
      <c r="AP20" s="175">
        <f t="shared" si="15"/>
        <v>130249</v>
      </c>
      <c r="AQ20" s="29">
        <v>41291</v>
      </c>
      <c r="AR20" s="149">
        <v>171540</v>
      </c>
      <c r="AS20" s="29">
        <f>AS15+AS18+AS19</f>
        <v>82269</v>
      </c>
      <c r="AT20" s="29">
        <f t="shared" si="18"/>
        <v>74360</v>
      </c>
      <c r="AU20" s="175">
        <v>156629</v>
      </c>
    </row>
    <row r="21" spans="1:47" x14ac:dyDescent="0.35">
      <c r="A21" s="102" t="s">
        <v>193</v>
      </c>
      <c r="B21" s="102" t="s">
        <v>194</v>
      </c>
      <c r="C21" s="8">
        <v>-374</v>
      </c>
      <c r="D21" s="8">
        <v>-793</v>
      </c>
      <c r="E21" s="174">
        <f t="shared" si="1"/>
        <v>-1167</v>
      </c>
      <c r="F21" s="8">
        <v>-1464</v>
      </c>
      <c r="G21" s="174">
        <f t="shared" si="2"/>
        <v>-2631</v>
      </c>
      <c r="H21" s="8">
        <v>-1067</v>
      </c>
      <c r="I21" s="9">
        <f t="shared" si="16"/>
        <v>-3698</v>
      </c>
      <c r="J21" s="8">
        <v>-110</v>
      </c>
      <c r="K21" s="8">
        <v>-357</v>
      </c>
      <c r="L21" s="174">
        <f t="shared" si="3"/>
        <v>-467</v>
      </c>
      <c r="M21" s="8">
        <v>-3143</v>
      </c>
      <c r="N21" s="174">
        <f t="shared" si="4"/>
        <v>-3610</v>
      </c>
      <c r="O21" s="8">
        <v>5885</v>
      </c>
      <c r="P21" s="9">
        <f t="shared" si="5"/>
        <v>2275</v>
      </c>
      <c r="Q21" s="8">
        <v>-1601</v>
      </c>
      <c r="R21" s="8">
        <v>2156</v>
      </c>
      <c r="S21" s="174">
        <f t="shared" si="6"/>
        <v>555</v>
      </c>
      <c r="T21" s="8">
        <v>-1715</v>
      </c>
      <c r="U21" s="174">
        <f t="shared" si="7"/>
        <v>-1160</v>
      </c>
      <c r="V21" s="8">
        <v>-3327</v>
      </c>
      <c r="W21" s="9">
        <f t="shared" si="8"/>
        <v>-4487</v>
      </c>
      <c r="X21" s="8">
        <v>1240</v>
      </c>
      <c r="Y21" s="8">
        <v>-783</v>
      </c>
      <c r="Z21" s="174">
        <f t="shared" si="9"/>
        <v>457</v>
      </c>
      <c r="AA21" s="8">
        <v>-1013</v>
      </c>
      <c r="AB21" s="174">
        <f t="shared" si="10"/>
        <v>-556</v>
      </c>
      <c r="AC21" s="8">
        <v>-300</v>
      </c>
      <c r="AD21" s="9">
        <f t="shared" si="11"/>
        <v>-856</v>
      </c>
      <c r="AE21" s="8">
        <v>-1382</v>
      </c>
      <c r="AF21" s="8">
        <v>-3129</v>
      </c>
      <c r="AG21" s="174">
        <f t="shared" si="12"/>
        <v>-4511</v>
      </c>
      <c r="AH21" s="8">
        <v>-2801</v>
      </c>
      <c r="AI21" s="174">
        <f t="shared" si="13"/>
        <v>-7312</v>
      </c>
      <c r="AJ21" s="8">
        <v>18652</v>
      </c>
      <c r="AK21" s="9">
        <v>11340</v>
      </c>
      <c r="AL21" s="8">
        <v>2543</v>
      </c>
      <c r="AM21" s="8">
        <v>-2650</v>
      </c>
      <c r="AN21" s="174">
        <f t="shared" si="0"/>
        <v>-107</v>
      </c>
      <c r="AO21" s="8">
        <v>-910</v>
      </c>
      <c r="AP21" s="174">
        <f t="shared" si="15"/>
        <v>-1017</v>
      </c>
      <c r="AQ21" s="8">
        <v>-3813</v>
      </c>
      <c r="AR21" s="9">
        <v>-4830</v>
      </c>
      <c r="AS21" s="8">
        <v>-11542</v>
      </c>
      <c r="AT21" s="8">
        <f t="shared" si="18"/>
        <v>-2266</v>
      </c>
      <c r="AU21" s="174">
        <v>-13808</v>
      </c>
    </row>
    <row r="22" spans="1:47" x14ac:dyDescent="0.35">
      <c r="A22" s="102" t="s">
        <v>195</v>
      </c>
      <c r="B22" s="102" t="s">
        <v>196</v>
      </c>
      <c r="C22" s="8">
        <v>-1017</v>
      </c>
      <c r="D22" s="8">
        <v>-1018</v>
      </c>
      <c r="E22" s="174">
        <f t="shared" si="1"/>
        <v>-2035</v>
      </c>
      <c r="F22" s="8">
        <v>-1226</v>
      </c>
      <c r="G22" s="174">
        <f t="shared" si="2"/>
        <v>-3261</v>
      </c>
      <c r="H22" s="8">
        <v>-801</v>
      </c>
      <c r="I22" s="9">
        <f t="shared" si="16"/>
        <v>-4062</v>
      </c>
      <c r="J22" s="8">
        <v>-1022</v>
      </c>
      <c r="K22" s="8">
        <v>-1037</v>
      </c>
      <c r="L22" s="174">
        <f t="shared" si="3"/>
        <v>-2059</v>
      </c>
      <c r="M22" s="8">
        <v>-1022</v>
      </c>
      <c r="N22" s="174">
        <f t="shared" si="4"/>
        <v>-3081</v>
      </c>
      <c r="O22" s="8">
        <v>-1612</v>
      </c>
      <c r="P22" s="9">
        <f t="shared" si="5"/>
        <v>-4693</v>
      </c>
      <c r="Q22" s="8">
        <v>-1189</v>
      </c>
      <c r="R22" s="8">
        <v>-1191</v>
      </c>
      <c r="S22" s="174">
        <f t="shared" si="6"/>
        <v>-2380</v>
      </c>
      <c r="T22" s="8">
        <v>-1192</v>
      </c>
      <c r="U22" s="174">
        <f t="shared" si="7"/>
        <v>-3572</v>
      </c>
      <c r="V22" s="8">
        <v>-1053</v>
      </c>
      <c r="W22" s="9">
        <f t="shared" si="8"/>
        <v>-4625</v>
      </c>
      <c r="X22" s="8">
        <v>-1160</v>
      </c>
      <c r="Y22" s="8">
        <v>-1160</v>
      </c>
      <c r="Z22" s="174">
        <f t="shared" si="9"/>
        <v>-2320</v>
      </c>
      <c r="AA22" s="8">
        <v>-1162</v>
      </c>
      <c r="AB22" s="174">
        <f t="shared" si="10"/>
        <v>-3482</v>
      </c>
      <c r="AC22" s="8">
        <v>-1057</v>
      </c>
      <c r="AD22" s="9">
        <f t="shared" si="11"/>
        <v>-4539</v>
      </c>
      <c r="AE22" s="8">
        <v>-1169</v>
      </c>
      <c r="AF22" s="8">
        <v>-1178</v>
      </c>
      <c r="AG22" s="174">
        <f t="shared" si="12"/>
        <v>-2347</v>
      </c>
      <c r="AH22" s="8">
        <v>-2488</v>
      </c>
      <c r="AI22" s="174">
        <f t="shared" si="13"/>
        <v>-4835</v>
      </c>
      <c r="AJ22" s="8">
        <v>-1418</v>
      </c>
      <c r="AK22" s="9">
        <f t="shared" si="14"/>
        <v>-6253</v>
      </c>
      <c r="AL22" s="8">
        <v>-1503</v>
      </c>
      <c r="AM22" s="8">
        <v>-2199</v>
      </c>
      <c r="AN22" s="174">
        <f t="shared" si="0"/>
        <v>-3702</v>
      </c>
      <c r="AO22" s="8">
        <v>-1781</v>
      </c>
      <c r="AP22" s="174">
        <f t="shared" si="15"/>
        <v>-5483</v>
      </c>
      <c r="AQ22" s="8">
        <v>-576</v>
      </c>
      <c r="AR22" s="9">
        <v>-6059</v>
      </c>
      <c r="AS22" s="8">
        <v>-2190</v>
      </c>
      <c r="AT22" s="8">
        <f t="shared" si="18"/>
        <v>-1824</v>
      </c>
      <c r="AU22" s="174">
        <v>-4014</v>
      </c>
    </row>
    <row r="23" spans="1:47" s="31" customFormat="1" x14ac:dyDescent="0.35">
      <c r="A23" s="103" t="s">
        <v>197</v>
      </c>
      <c r="B23" s="103" t="s">
        <v>198</v>
      </c>
      <c r="C23" s="29">
        <v>14230</v>
      </c>
      <c r="D23" s="29">
        <v>24704</v>
      </c>
      <c r="E23" s="175">
        <f t="shared" si="1"/>
        <v>38934</v>
      </c>
      <c r="F23" s="29">
        <v>9077</v>
      </c>
      <c r="G23" s="175">
        <f t="shared" si="2"/>
        <v>48011</v>
      </c>
      <c r="H23" s="29">
        <v>-11818</v>
      </c>
      <c r="I23" s="149">
        <f t="shared" si="16"/>
        <v>36193</v>
      </c>
      <c r="J23" s="29">
        <v>21632</v>
      </c>
      <c r="K23" s="29">
        <v>17937</v>
      </c>
      <c r="L23" s="175">
        <f t="shared" si="3"/>
        <v>39569</v>
      </c>
      <c r="M23" s="29">
        <v>22478</v>
      </c>
      <c r="N23" s="175">
        <f t="shared" si="4"/>
        <v>62047</v>
      </c>
      <c r="O23" s="29">
        <v>-13617</v>
      </c>
      <c r="P23" s="149">
        <f t="shared" si="5"/>
        <v>48430</v>
      </c>
      <c r="Q23" s="29">
        <v>29110</v>
      </c>
      <c r="R23" s="29">
        <v>32186</v>
      </c>
      <c r="S23" s="175">
        <f t="shared" si="6"/>
        <v>61296</v>
      </c>
      <c r="T23" s="29">
        <v>23008</v>
      </c>
      <c r="U23" s="175">
        <f t="shared" si="7"/>
        <v>84304</v>
      </c>
      <c r="V23" s="29">
        <v>21748</v>
      </c>
      <c r="W23" s="149">
        <f t="shared" si="8"/>
        <v>106052</v>
      </c>
      <c r="X23" s="29">
        <v>26952</v>
      </c>
      <c r="Y23" s="29">
        <v>28682</v>
      </c>
      <c r="Z23" s="175">
        <f t="shared" si="9"/>
        <v>55634</v>
      </c>
      <c r="AA23" s="29">
        <v>38487</v>
      </c>
      <c r="AB23" s="175">
        <f t="shared" si="10"/>
        <v>94121</v>
      </c>
      <c r="AC23" s="29">
        <v>47059</v>
      </c>
      <c r="AD23" s="149">
        <f t="shared" si="11"/>
        <v>141180</v>
      </c>
      <c r="AE23" s="29">
        <v>37906</v>
      </c>
      <c r="AF23" s="29">
        <v>77183</v>
      </c>
      <c r="AG23" s="175">
        <f t="shared" si="12"/>
        <v>115089</v>
      </c>
      <c r="AH23" s="29">
        <v>82168</v>
      </c>
      <c r="AI23" s="175">
        <f>SUM($AG23:$AH23)</f>
        <v>197257</v>
      </c>
      <c r="AJ23" s="29">
        <v>-26507</v>
      </c>
      <c r="AK23" s="149">
        <v>170750</v>
      </c>
      <c r="AL23" s="29">
        <v>39036</v>
      </c>
      <c r="AM23" s="29">
        <v>30009</v>
      </c>
      <c r="AN23" s="175">
        <f t="shared" si="0"/>
        <v>69045</v>
      </c>
      <c r="AO23" s="29">
        <v>54704</v>
      </c>
      <c r="AP23" s="175">
        <f t="shared" si="15"/>
        <v>123749</v>
      </c>
      <c r="AQ23" s="29">
        <v>36902</v>
      </c>
      <c r="AR23" s="149">
        <v>160651</v>
      </c>
      <c r="AS23" s="29">
        <f>AS20+AS21+AS22</f>
        <v>68537</v>
      </c>
      <c r="AT23" s="29">
        <f t="shared" si="18"/>
        <v>70270</v>
      </c>
      <c r="AU23" s="175">
        <v>138807</v>
      </c>
    </row>
    <row r="24" spans="1:47" x14ac:dyDescent="0.35">
      <c r="A24" s="102" t="s">
        <v>199</v>
      </c>
      <c r="B24" s="102" t="s">
        <v>200</v>
      </c>
      <c r="C24" s="8"/>
      <c r="D24" s="8"/>
      <c r="E24" s="174"/>
      <c r="F24" s="8"/>
      <c r="G24" s="174"/>
      <c r="H24" s="8"/>
      <c r="I24" s="9"/>
      <c r="J24" s="8"/>
      <c r="K24" s="8"/>
      <c r="L24" s="174"/>
      <c r="M24" s="8"/>
      <c r="N24" s="174"/>
      <c r="O24" s="8"/>
      <c r="P24" s="9"/>
      <c r="Q24" s="8"/>
      <c r="R24" s="8"/>
      <c r="S24" s="174"/>
      <c r="T24" s="8"/>
      <c r="U24" s="174"/>
      <c r="V24" s="8"/>
      <c r="W24" s="9"/>
      <c r="X24" s="8"/>
      <c r="Y24" s="8"/>
      <c r="Z24" s="174"/>
      <c r="AA24" s="8"/>
      <c r="AB24" s="174"/>
      <c r="AC24" s="8"/>
      <c r="AD24" s="9"/>
      <c r="AE24" s="8"/>
      <c r="AF24" s="8"/>
      <c r="AG24" s="174"/>
      <c r="AH24" s="8"/>
      <c r="AI24" s="174"/>
      <c r="AJ24" s="8"/>
      <c r="AK24" s="9"/>
      <c r="AL24" s="8"/>
      <c r="AM24" s="8"/>
      <c r="AN24" s="174"/>
      <c r="AP24" s="178"/>
      <c r="AR24" s="9"/>
      <c r="AS24" s="8"/>
      <c r="AT24" s="8"/>
      <c r="AU24" s="174"/>
    </row>
    <row r="25" spans="1:47" x14ac:dyDescent="0.35">
      <c r="A25" s="107" t="s">
        <v>201</v>
      </c>
      <c r="B25" s="107" t="s">
        <v>202</v>
      </c>
      <c r="C25" s="29">
        <v>14504</v>
      </c>
      <c r="D25" s="29">
        <v>24309</v>
      </c>
      <c r="E25" s="175">
        <f t="shared" si="1"/>
        <v>38813</v>
      </c>
      <c r="F25" s="29">
        <v>8839</v>
      </c>
      <c r="G25" s="175">
        <f t="shared" si="2"/>
        <v>47652</v>
      </c>
      <c r="H25" s="29">
        <v>-12304</v>
      </c>
      <c r="I25" s="149">
        <f t="shared" si="16"/>
        <v>35348</v>
      </c>
      <c r="J25" s="29">
        <v>22013</v>
      </c>
      <c r="K25" s="29">
        <v>17523</v>
      </c>
      <c r="L25" s="175">
        <f t="shared" si="3"/>
        <v>39536</v>
      </c>
      <c r="M25" s="29">
        <v>22219</v>
      </c>
      <c r="N25" s="175">
        <f t="shared" si="4"/>
        <v>61755</v>
      </c>
      <c r="O25" s="29">
        <v>-14620</v>
      </c>
      <c r="P25" s="149">
        <f t="shared" si="5"/>
        <v>47135</v>
      </c>
      <c r="Q25" s="29">
        <v>29001</v>
      </c>
      <c r="R25" s="29">
        <v>31530</v>
      </c>
      <c r="S25" s="175">
        <f t="shared" si="6"/>
        <v>60531</v>
      </c>
      <c r="T25" s="29">
        <v>22571</v>
      </c>
      <c r="U25" s="175">
        <f t="shared" si="7"/>
        <v>83102</v>
      </c>
      <c r="V25" s="29">
        <v>21581</v>
      </c>
      <c r="W25" s="149">
        <f t="shared" si="8"/>
        <v>104683</v>
      </c>
      <c r="X25" s="29">
        <v>26888</v>
      </c>
      <c r="Y25" s="29">
        <v>28027</v>
      </c>
      <c r="Z25" s="175">
        <f t="shared" si="9"/>
        <v>54915</v>
      </c>
      <c r="AA25" s="29">
        <v>38193</v>
      </c>
      <c r="AB25" s="175">
        <f t="shared" si="10"/>
        <v>93108</v>
      </c>
      <c r="AC25" s="29">
        <v>46518</v>
      </c>
      <c r="AD25" s="149">
        <f t="shared" si="11"/>
        <v>139626</v>
      </c>
      <c r="AE25" s="29">
        <v>37054</v>
      </c>
      <c r="AF25" s="29">
        <v>76532</v>
      </c>
      <c r="AG25" s="175">
        <f t="shared" si="12"/>
        <v>113586</v>
      </c>
      <c r="AH25" s="29">
        <v>82417</v>
      </c>
      <c r="AI25" s="175">
        <f t="shared" si="13"/>
        <v>196003</v>
      </c>
      <c r="AJ25" s="29">
        <v>-26927</v>
      </c>
      <c r="AK25" s="149">
        <v>169076</v>
      </c>
      <c r="AL25" s="29">
        <v>39193</v>
      </c>
      <c r="AM25" s="29">
        <v>28743</v>
      </c>
      <c r="AN25" s="175">
        <f>SUM($AL25:$AM25)</f>
        <v>67936</v>
      </c>
      <c r="AO25" s="29">
        <v>54554</v>
      </c>
      <c r="AP25" s="175">
        <f t="shared" si="15"/>
        <v>122490</v>
      </c>
      <c r="AQ25" s="29">
        <v>36360</v>
      </c>
      <c r="AR25" s="149">
        <v>158850</v>
      </c>
      <c r="AS25" s="29">
        <v>68217</v>
      </c>
      <c r="AT25" s="29">
        <f>AU25-AS25</f>
        <v>69998</v>
      </c>
      <c r="AU25" s="175">
        <v>138215</v>
      </c>
    </row>
    <row r="26" spans="1:47" x14ac:dyDescent="0.35">
      <c r="A26" s="105" t="s">
        <v>203</v>
      </c>
      <c r="B26" s="105" t="s">
        <v>204</v>
      </c>
      <c r="C26" s="8">
        <v>-274</v>
      </c>
      <c r="D26" s="8">
        <v>395</v>
      </c>
      <c r="E26" s="174">
        <f t="shared" si="1"/>
        <v>121</v>
      </c>
      <c r="F26" s="8">
        <v>238</v>
      </c>
      <c r="G26" s="174">
        <f t="shared" si="2"/>
        <v>359</v>
      </c>
      <c r="H26" s="8">
        <v>486</v>
      </c>
      <c r="I26" s="9">
        <f t="shared" si="16"/>
        <v>845</v>
      </c>
      <c r="J26" s="8">
        <v>-381</v>
      </c>
      <c r="K26" s="8">
        <v>414</v>
      </c>
      <c r="L26" s="174">
        <f t="shared" si="3"/>
        <v>33</v>
      </c>
      <c r="M26" s="8">
        <v>259</v>
      </c>
      <c r="N26" s="174">
        <f t="shared" si="4"/>
        <v>292</v>
      </c>
      <c r="O26" s="8">
        <v>1003</v>
      </c>
      <c r="P26" s="9">
        <f t="shared" si="5"/>
        <v>1295</v>
      </c>
      <c r="Q26" s="8">
        <v>109</v>
      </c>
      <c r="R26" s="8">
        <v>656</v>
      </c>
      <c r="S26" s="174">
        <f t="shared" si="6"/>
        <v>765</v>
      </c>
      <c r="T26" s="8">
        <v>437</v>
      </c>
      <c r="U26" s="174">
        <f t="shared" si="7"/>
        <v>1202</v>
      </c>
      <c r="V26" s="8">
        <v>167</v>
      </c>
      <c r="W26" s="9">
        <f t="shared" si="8"/>
        <v>1369</v>
      </c>
      <c r="X26" s="8">
        <v>64</v>
      </c>
      <c r="Y26" s="8">
        <v>655</v>
      </c>
      <c r="Z26" s="174">
        <f t="shared" si="9"/>
        <v>719</v>
      </c>
      <c r="AA26" s="8">
        <v>294</v>
      </c>
      <c r="AB26" s="174">
        <f t="shared" si="10"/>
        <v>1013</v>
      </c>
      <c r="AC26" s="8">
        <v>541</v>
      </c>
      <c r="AD26" s="9">
        <f t="shared" si="11"/>
        <v>1554</v>
      </c>
      <c r="AE26" s="8">
        <v>852</v>
      </c>
      <c r="AF26" s="8">
        <v>651</v>
      </c>
      <c r="AG26" s="174">
        <f t="shared" si="12"/>
        <v>1503</v>
      </c>
      <c r="AH26" s="8">
        <v>-249</v>
      </c>
      <c r="AI26" s="174">
        <f t="shared" si="13"/>
        <v>1254</v>
      </c>
      <c r="AJ26" s="8">
        <v>420</v>
      </c>
      <c r="AK26" s="9">
        <f t="shared" si="14"/>
        <v>1674</v>
      </c>
      <c r="AL26" s="8">
        <v>-157</v>
      </c>
      <c r="AM26" s="8">
        <v>1266</v>
      </c>
      <c r="AN26" s="174">
        <f>SUM($AL26:$AM26)</f>
        <v>1109</v>
      </c>
      <c r="AO26" s="8">
        <v>150</v>
      </c>
      <c r="AP26" s="174">
        <f t="shared" si="15"/>
        <v>1259</v>
      </c>
      <c r="AQ26" s="8">
        <v>542</v>
      </c>
      <c r="AR26" s="9">
        <v>1801</v>
      </c>
      <c r="AS26" s="8">
        <f>AS23-AS25</f>
        <v>320</v>
      </c>
      <c r="AT26" s="8">
        <f>AU26-AS26</f>
        <v>272</v>
      </c>
      <c r="AU26" s="174">
        <v>592</v>
      </c>
    </row>
    <row r="27" spans="1:47" x14ac:dyDescent="0.35">
      <c r="A27" s="275"/>
      <c r="B27" s="275"/>
      <c r="C27" s="276"/>
      <c r="D27" s="276"/>
      <c r="E27" s="276"/>
      <c r="F27" s="276"/>
      <c r="G27" s="276"/>
      <c r="H27" s="163"/>
      <c r="I27" s="163"/>
      <c r="J27" s="276"/>
      <c r="K27" s="276"/>
      <c r="L27" s="276"/>
      <c r="M27" s="276"/>
      <c r="N27" s="276"/>
      <c r="O27" s="163"/>
      <c r="P27" s="163"/>
      <c r="Q27" s="276"/>
      <c r="R27" s="276"/>
      <c r="S27" s="276"/>
      <c r="T27" s="276"/>
      <c r="U27" s="276"/>
      <c r="V27" s="163"/>
      <c r="W27" s="163"/>
      <c r="X27" s="276"/>
      <c r="Y27" s="276"/>
      <c r="Z27" s="276"/>
      <c r="AA27" s="276"/>
      <c r="AB27" s="276"/>
      <c r="AC27" s="163"/>
      <c r="AD27" s="163"/>
      <c r="AE27" s="276"/>
      <c r="AF27" s="276"/>
      <c r="AG27" s="276"/>
      <c r="AH27" s="276"/>
      <c r="AI27" s="276"/>
      <c r="AJ27" s="163"/>
      <c r="AK27" s="163"/>
      <c r="AL27" s="276"/>
      <c r="AM27" s="276"/>
      <c r="AN27" s="276"/>
      <c r="AO27" s="276"/>
      <c r="AP27" s="276"/>
      <c r="AQ27" s="276"/>
      <c r="AR27" s="163"/>
      <c r="AS27" s="276"/>
      <c r="AT27" s="276"/>
      <c r="AU27" s="276"/>
    </row>
    <row r="28" spans="1:47" x14ac:dyDescent="0.35">
      <c r="A28" s="114" t="s">
        <v>205</v>
      </c>
      <c r="B28" s="114" t="s">
        <v>206</v>
      </c>
      <c r="C28" s="84" t="s">
        <v>207</v>
      </c>
      <c r="D28" s="84" t="s">
        <v>207</v>
      </c>
      <c r="E28" s="180" t="s">
        <v>207</v>
      </c>
      <c r="F28" s="84" t="s">
        <v>207</v>
      </c>
      <c r="G28" s="180" t="s">
        <v>207</v>
      </c>
      <c r="H28" s="84" t="s">
        <v>207</v>
      </c>
      <c r="I28" s="86" t="s">
        <v>207</v>
      </c>
      <c r="J28" s="84" t="s">
        <v>207</v>
      </c>
      <c r="K28" s="84" t="s">
        <v>207</v>
      </c>
      <c r="L28" s="180" t="s">
        <v>207</v>
      </c>
      <c r="M28" s="84" t="s">
        <v>207</v>
      </c>
      <c r="N28" s="180" t="s">
        <v>207</v>
      </c>
      <c r="O28" s="84" t="s">
        <v>207</v>
      </c>
      <c r="P28" s="86" t="s">
        <v>207</v>
      </c>
      <c r="Q28" s="84" t="s">
        <v>207</v>
      </c>
      <c r="R28" s="84" t="s">
        <v>207</v>
      </c>
      <c r="S28" s="180" t="s">
        <v>207</v>
      </c>
      <c r="T28" s="84" t="s">
        <v>207</v>
      </c>
      <c r="U28" s="180" t="s">
        <v>207</v>
      </c>
      <c r="V28" s="84" t="s">
        <v>207</v>
      </c>
      <c r="W28" s="86" t="s">
        <v>207</v>
      </c>
      <c r="X28" s="84" t="s">
        <v>207</v>
      </c>
      <c r="Y28" s="84" t="s">
        <v>207</v>
      </c>
      <c r="Z28" s="180" t="s">
        <v>207</v>
      </c>
      <c r="AA28" s="84" t="s">
        <v>207</v>
      </c>
      <c r="AB28" s="180" t="s">
        <v>207</v>
      </c>
      <c r="AC28" s="84" t="s">
        <v>207</v>
      </c>
      <c r="AD28" s="86" t="s">
        <v>207</v>
      </c>
      <c r="AE28" s="84" t="s">
        <v>207</v>
      </c>
      <c r="AF28" s="84" t="s">
        <v>207</v>
      </c>
      <c r="AG28" s="180" t="s">
        <v>207</v>
      </c>
      <c r="AH28" s="84" t="s">
        <v>207</v>
      </c>
      <c r="AI28" s="180" t="s">
        <v>207</v>
      </c>
      <c r="AJ28" s="84" t="s">
        <v>207</v>
      </c>
      <c r="AK28" s="86" t="s">
        <v>207</v>
      </c>
      <c r="AL28" s="84" t="s">
        <v>207</v>
      </c>
      <c r="AM28" s="84" t="s">
        <v>207</v>
      </c>
      <c r="AN28" s="180" t="s">
        <v>207</v>
      </c>
      <c r="AO28" s="84" t="s">
        <v>207</v>
      </c>
      <c r="AP28" s="180" t="s">
        <v>207</v>
      </c>
      <c r="AQ28" s="84" t="s">
        <v>207</v>
      </c>
      <c r="AR28" s="86" t="s">
        <v>207</v>
      </c>
      <c r="AS28" s="84" t="s">
        <v>207</v>
      </c>
      <c r="AT28" s="84" t="s">
        <v>207</v>
      </c>
      <c r="AU28" s="180" t="s">
        <v>207</v>
      </c>
    </row>
    <row r="29" spans="1:47" x14ac:dyDescent="0.35">
      <c r="A29" s="102" t="s">
        <v>208</v>
      </c>
      <c r="B29" s="102" t="s">
        <v>209</v>
      </c>
      <c r="C29" s="18">
        <v>78</v>
      </c>
      <c r="D29" s="18">
        <v>130</v>
      </c>
      <c r="E29" s="176">
        <v>208</v>
      </c>
      <c r="F29" s="18">
        <v>47</v>
      </c>
      <c r="G29" s="176">
        <v>256</v>
      </c>
      <c r="H29" s="8">
        <v>-66</v>
      </c>
      <c r="I29" s="4">
        <v>190</v>
      </c>
      <c r="J29" s="18">
        <v>118</v>
      </c>
      <c r="K29" s="18">
        <v>94</v>
      </c>
      <c r="L29" s="176">
        <v>212</v>
      </c>
      <c r="M29" s="18">
        <v>119</v>
      </c>
      <c r="N29" s="176">
        <v>332</v>
      </c>
      <c r="O29" s="8">
        <v>-79</v>
      </c>
      <c r="P29" s="4">
        <v>253</v>
      </c>
      <c r="Q29" s="18">
        <v>156</v>
      </c>
      <c r="R29" s="18">
        <v>170</v>
      </c>
      <c r="S29" s="176">
        <v>326</v>
      </c>
      <c r="T29" s="18">
        <v>121</v>
      </c>
      <c r="U29" s="176">
        <v>447</v>
      </c>
      <c r="V29" s="18">
        <v>116</v>
      </c>
      <c r="W29" s="4">
        <v>563</v>
      </c>
      <c r="X29" s="18">
        <v>145</v>
      </c>
      <c r="Y29" s="18">
        <v>150</v>
      </c>
      <c r="Z29" s="176">
        <v>295</v>
      </c>
      <c r="AA29" s="18">
        <v>206</v>
      </c>
      <c r="AB29" s="176">
        <v>501</v>
      </c>
      <c r="AC29" s="18">
        <v>250</v>
      </c>
      <c r="AD29" s="4">
        <v>751</v>
      </c>
      <c r="AE29" s="18">
        <v>199</v>
      </c>
      <c r="AF29" s="18">
        <v>411</v>
      </c>
      <c r="AG29" s="176">
        <v>610</v>
      </c>
      <c r="AH29" s="18">
        <v>442</v>
      </c>
      <c r="AI29" s="176">
        <v>1052</v>
      </c>
      <c r="AJ29" s="8">
        <v>-145</v>
      </c>
      <c r="AK29" s="4">
        <v>907</v>
      </c>
      <c r="AL29" s="18">
        <v>210</v>
      </c>
      <c r="AM29" s="18">
        <v>155</v>
      </c>
      <c r="AN29" s="176">
        <v>365</v>
      </c>
      <c r="AO29" s="18">
        <v>296</v>
      </c>
      <c r="AP29" s="176">
        <v>661</v>
      </c>
      <c r="AQ29" s="18">
        <v>199</v>
      </c>
      <c r="AR29" s="4">
        <v>860</v>
      </c>
      <c r="AS29" s="18">
        <v>373</v>
      </c>
      <c r="AT29" s="18">
        <f>AU29-AS29</f>
        <v>383</v>
      </c>
      <c r="AU29" s="176">
        <v>756</v>
      </c>
    </row>
    <row r="30" spans="1:47" x14ac:dyDescent="0.35">
      <c r="A30" s="102" t="s">
        <v>210</v>
      </c>
      <c r="B30" s="102" t="s">
        <v>211</v>
      </c>
      <c r="C30" s="18">
        <v>78</v>
      </c>
      <c r="D30" s="18">
        <v>130</v>
      </c>
      <c r="E30" s="176">
        <v>208</v>
      </c>
      <c r="F30" s="18">
        <v>47</v>
      </c>
      <c r="G30" s="176">
        <v>256</v>
      </c>
      <c r="H30" s="8">
        <v>-66</v>
      </c>
      <c r="I30" s="4">
        <v>190</v>
      </c>
      <c r="J30" s="18">
        <v>118</v>
      </c>
      <c r="K30" s="18">
        <v>94</v>
      </c>
      <c r="L30" s="176">
        <v>212</v>
      </c>
      <c r="M30" s="18">
        <v>119</v>
      </c>
      <c r="N30" s="176">
        <v>332</v>
      </c>
      <c r="O30" s="8">
        <v>-79</v>
      </c>
      <c r="P30" s="4">
        <v>253</v>
      </c>
      <c r="Q30" s="18">
        <v>156</v>
      </c>
      <c r="R30" s="18">
        <v>170</v>
      </c>
      <c r="S30" s="176">
        <v>326</v>
      </c>
      <c r="T30" s="18">
        <v>121</v>
      </c>
      <c r="U30" s="176">
        <v>447</v>
      </c>
      <c r="V30" s="18">
        <v>116</v>
      </c>
      <c r="W30" s="4">
        <v>563</v>
      </c>
      <c r="X30" s="18">
        <v>145</v>
      </c>
      <c r="Y30" s="18">
        <v>150</v>
      </c>
      <c r="Z30" s="176">
        <v>295</v>
      </c>
      <c r="AA30" s="18">
        <v>206</v>
      </c>
      <c r="AB30" s="176">
        <v>501</v>
      </c>
      <c r="AC30" s="18">
        <v>250</v>
      </c>
      <c r="AD30" s="4">
        <v>751</v>
      </c>
      <c r="AE30" s="18">
        <v>199</v>
      </c>
      <c r="AF30" s="18">
        <v>411</v>
      </c>
      <c r="AG30" s="176">
        <v>610</v>
      </c>
      <c r="AH30" s="18">
        <v>442</v>
      </c>
      <c r="AI30" s="176">
        <v>1052</v>
      </c>
      <c r="AJ30" s="8">
        <v>-145</v>
      </c>
      <c r="AK30" s="4">
        <v>907</v>
      </c>
      <c r="AL30" s="18">
        <v>210</v>
      </c>
      <c r="AM30" s="18">
        <v>155</v>
      </c>
      <c r="AN30" s="176">
        <v>365</v>
      </c>
      <c r="AO30" s="18">
        <v>296</v>
      </c>
      <c r="AP30" s="176">
        <v>661</v>
      </c>
      <c r="AQ30" s="18">
        <v>199</v>
      </c>
      <c r="AR30" s="4">
        <v>860</v>
      </c>
      <c r="AS30" s="18">
        <v>373</v>
      </c>
      <c r="AT30" s="18">
        <f>AU30-AS30</f>
        <v>383</v>
      </c>
      <c r="AU30" s="176">
        <v>756</v>
      </c>
    </row>
    <row r="31" spans="1:47" x14ac:dyDescent="0.35">
      <c r="A31" s="113"/>
      <c r="B31" s="113"/>
      <c r="C31" s="18"/>
      <c r="D31" s="18"/>
      <c r="E31" s="18"/>
      <c r="F31" s="18"/>
      <c r="G31" s="18"/>
      <c r="H31" s="3"/>
      <c r="I31" s="3"/>
      <c r="J31" s="18"/>
      <c r="K31" s="18"/>
      <c r="L31" s="18"/>
      <c r="M31" s="18"/>
      <c r="N31" s="18"/>
      <c r="O31" s="3"/>
      <c r="P31" s="3"/>
      <c r="Q31" s="18"/>
      <c r="R31" s="18"/>
      <c r="S31" s="18"/>
      <c r="T31" s="18"/>
      <c r="U31" s="18"/>
      <c r="V31" s="3"/>
      <c r="W31" s="3"/>
      <c r="X31" s="18"/>
      <c r="Y31" s="18"/>
      <c r="Z31" s="18"/>
      <c r="AA31" s="18"/>
      <c r="AB31" s="18"/>
      <c r="AC31" s="3"/>
      <c r="AD31" s="3"/>
      <c r="AE31" s="18"/>
      <c r="AF31" s="18"/>
      <c r="AG31" s="18"/>
      <c r="AH31" s="18"/>
      <c r="AI31" s="18"/>
      <c r="AJ31" s="3"/>
      <c r="AK31" s="82"/>
      <c r="AL31" s="18"/>
      <c r="AM31" s="18"/>
      <c r="AN31" s="18"/>
      <c r="AO31" s="18"/>
      <c r="AP31" s="18"/>
      <c r="AQ31" s="18"/>
      <c r="AR31" s="18"/>
      <c r="AS31" s="18"/>
      <c r="AT31" s="18"/>
      <c r="AU31" s="18"/>
    </row>
    <row r="32" spans="1:47" ht="15" thickBot="1" x14ac:dyDescent="0.4">
      <c r="A32" s="21" t="s">
        <v>212</v>
      </c>
      <c r="B32" s="21" t="s">
        <v>213</v>
      </c>
      <c r="C32" s="22"/>
      <c r="D32" s="22"/>
      <c r="E32" s="22"/>
      <c r="F32" s="22"/>
      <c r="G32" s="22"/>
      <c r="H32" s="22"/>
      <c r="I32" s="23"/>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row>
    <row r="33" spans="1:48" x14ac:dyDescent="0.35">
      <c r="A33" s="102" t="s">
        <v>165</v>
      </c>
      <c r="B33" s="102" t="s">
        <v>214</v>
      </c>
      <c r="C33" s="24">
        <f t="shared" ref="C33:AR33" si="20">C7/C4</f>
        <v>0.57549695028303127</v>
      </c>
      <c r="D33" s="24">
        <f>D7/D4</f>
        <v>0.58616101733266956</v>
      </c>
      <c r="E33" s="177">
        <f>E7/E4</f>
        <v>0.58074678073341357</v>
      </c>
      <c r="F33" s="24">
        <f t="shared" si="20"/>
        <v>0.5923676404042435</v>
      </c>
      <c r="G33" s="177">
        <f t="shared" si="20"/>
        <v>0.58431493631802389</v>
      </c>
      <c r="H33" s="24">
        <f t="shared" si="20"/>
        <v>0.53113667573946011</v>
      </c>
      <c r="I33" s="25">
        <f t="shared" si="20"/>
        <v>0.56979824191216744</v>
      </c>
      <c r="J33" s="24">
        <f t="shared" si="20"/>
        <v>0.57516527974213072</v>
      </c>
      <c r="K33" s="24">
        <f t="shared" si="20"/>
        <v>0.56328913351680432</v>
      </c>
      <c r="L33" s="177">
        <f t="shared" si="20"/>
        <v>0.56926905209463319</v>
      </c>
      <c r="M33" s="24">
        <f t="shared" si="20"/>
        <v>0.5476371562762179</v>
      </c>
      <c r="N33" s="177">
        <f t="shared" si="20"/>
        <v>0.56179364275088806</v>
      </c>
      <c r="O33" s="24">
        <f t="shared" si="20"/>
        <v>0.50775939741233289</v>
      </c>
      <c r="P33" s="25">
        <f t="shared" si="20"/>
        <v>0.54703088260200006</v>
      </c>
      <c r="Q33" s="24">
        <f t="shared" si="20"/>
        <v>0.56737092189554961</v>
      </c>
      <c r="R33" s="24">
        <f t="shared" si="20"/>
        <v>0.57820581935803472</v>
      </c>
      <c r="S33" s="177">
        <f t="shared" ref="S33:V33" si="21">S7/S4</f>
        <v>0.57270750505934864</v>
      </c>
      <c r="T33" s="24">
        <f t="shared" si="21"/>
        <v>0.55808768527999886</v>
      </c>
      <c r="U33" s="177">
        <f t="shared" si="21"/>
        <v>0.56787283045421466</v>
      </c>
      <c r="V33" s="24">
        <f t="shared" si="21"/>
        <v>0.5473478425661793</v>
      </c>
      <c r="W33" s="25">
        <f t="shared" si="20"/>
        <v>0.56242677883326042</v>
      </c>
      <c r="X33" s="24">
        <f t="shared" si="20"/>
        <v>0.55508396383096514</v>
      </c>
      <c r="Y33" s="24">
        <f t="shared" si="20"/>
        <v>0.56592627750803348</v>
      </c>
      <c r="Z33" s="177">
        <f t="shared" ref="Z33:AC33" si="22">Z7/Z4</f>
        <v>0.56077937217615725</v>
      </c>
      <c r="AA33" s="24">
        <f t="shared" si="22"/>
        <v>0.54417907794664733</v>
      </c>
      <c r="AB33" s="177">
        <f t="shared" si="22"/>
        <v>0.55502387078739479</v>
      </c>
      <c r="AC33" s="24">
        <f t="shared" si="22"/>
        <v>0.55092639867479043</v>
      </c>
      <c r="AD33" s="25">
        <f t="shared" si="20"/>
        <v>0.55387847984839711</v>
      </c>
      <c r="AE33" s="24">
        <f t="shared" si="20"/>
        <v>0.57119310710056703</v>
      </c>
      <c r="AF33" s="24">
        <f t="shared" si="20"/>
        <v>0.57037263571476704</v>
      </c>
      <c r="AG33" s="177">
        <f t="shared" ref="AG33:AH33" si="23">AG7/AG4</f>
        <v>0.57075461244390269</v>
      </c>
      <c r="AH33" s="24">
        <f t="shared" si="23"/>
        <v>0.59994857832852022</v>
      </c>
      <c r="AI33" s="177">
        <f t="shared" ref="AI33" si="24">AI7/AI4</f>
        <v>0.58174077855929729</v>
      </c>
      <c r="AJ33" s="24">
        <f t="shared" si="20"/>
        <v>0.55257893984854978</v>
      </c>
      <c r="AK33" s="25">
        <f t="shared" si="20"/>
        <v>0.5736046489900406</v>
      </c>
      <c r="AL33" s="24">
        <f t="shared" si="20"/>
        <v>0.60749428818094664</v>
      </c>
      <c r="AM33" s="24">
        <f t="shared" si="20"/>
        <v>0.63275150527767277</v>
      </c>
      <c r="AN33" s="177">
        <f>AN7/AN4</f>
        <v>0.61994359465552107</v>
      </c>
      <c r="AO33" s="24">
        <f t="shared" ref="AO33:AP33" si="25">AO7/AO4</f>
        <v>0.71611401052274271</v>
      </c>
      <c r="AP33" s="177">
        <f t="shared" si="25"/>
        <v>0.65006478620552177</v>
      </c>
      <c r="AQ33" s="24">
        <f t="shared" si="20"/>
        <v>0.63982320920572111</v>
      </c>
      <c r="AR33" s="25">
        <f t="shared" si="20"/>
        <v>0.64748037031241068</v>
      </c>
      <c r="AS33" s="24">
        <f t="shared" ref="AS33" si="26">AS7/AS4</f>
        <v>0.69901981989067596</v>
      </c>
      <c r="AT33" s="24">
        <f>AT7/AT4</f>
        <v>0.69253355898659485</v>
      </c>
      <c r="AU33" s="177">
        <f>AU7/AU4</f>
        <v>0.69567755478409221</v>
      </c>
    </row>
    <row r="34" spans="1:48" x14ac:dyDescent="0.35">
      <c r="A34" s="102" t="s">
        <v>215</v>
      </c>
      <c r="B34" s="95" t="s">
        <v>167</v>
      </c>
      <c r="C34" s="24">
        <f t="shared" ref="C34:AR34" si="27">C8/C4*-1</f>
        <v>0.26575979639299663</v>
      </c>
      <c r="D34" s="24">
        <f>D8/D4*-1</f>
        <v>0.2745621577589718</v>
      </c>
      <c r="E34" s="177">
        <f t="shared" ref="E34:H34" si="28">E8/E4*-1</f>
        <v>0.2700931248050617</v>
      </c>
      <c r="F34" s="24">
        <f t="shared" si="28"/>
        <v>0.27564985670471115</v>
      </c>
      <c r="G34" s="177">
        <f t="shared" si="28"/>
        <v>0.27179930528753377</v>
      </c>
      <c r="H34" s="24">
        <f t="shared" si="28"/>
        <v>0.22658684801289378</v>
      </c>
      <c r="I34" s="25">
        <f t="shared" si="27"/>
        <v>0.25945712977345986</v>
      </c>
      <c r="J34" s="24">
        <f t="shared" si="27"/>
        <v>0.26084596914778146</v>
      </c>
      <c r="K34" s="24">
        <f t="shared" si="27"/>
        <v>0.26315570010841466</v>
      </c>
      <c r="L34" s="177">
        <f t="shared" ref="L34:O34" si="29">L8/L4*-1</f>
        <v>0.2619926963175197</v>
      </c>
      <c r="M34" s="24">
        <f t="shared" si="29"/>
        <v>0.21398496122693805</v>
      </c>
      <c r="N34" s="177">
        <f t="shared" si="29"/>
        <v>0.24540249661978167</v>
      </c>
      <c r="O34" s="24">
        <f t="shared" si="29"/>
        <v>0.18550473925109021</v>
      </c>
      <c r="P34" s="25">
        <f t="shared" si="27"/>
        <v>0.22903775940637344</v>
      </c>
      <c r="Q34" s="24">
        <f t="shared" si="27"/>
        <v>0.21732920396532462</v>
      </c>
      <c r="R34" s="24">
        <f t="shared" si="27"/>
        <v>0.17911208893680883</v>
      </c>
      <c r="S34" s="177">
        <f t="shared" ref="S34:V34" si="30">S8/S4*-1</f>
        <v>0.19850587745611642</v>
      </c>
      <c r="T34" s="24">
        <f t="shared" si="30"/>
        <v>0.17137628270768426</v>
      </c>
      <c r="U34" s="177">
        <f t="shared" si="30"/>
        <v>0.18953430566129267</v>
      </c>
      <c r="V34" s="24">
        <f t="shared" si="30"/>
        <v>0.17710972357983071</v>
      </c>
      <c r="W34" s="25">
        <f t="shared" si="27"/>
        <v>0.18623759651079086</v>
      </c>
      <c r="X34" s="24">
        <f t="shared" si="27"/>
        <v>0.20624015217113575</v>
      </c>
      <c r="Y34" s="24">
        <f t="shared" si="27"/>
        <v>0.17759077410540763</v>
      </c>
      <c r="Z34" s="177">
        <f t="shared" ref="Z34:AC34" si="31">Z8/Z4*-1</f>
        <v>0.19119078985050691</v>
      </c>
      <c r="AA34" s="24">
        <f t="shared" si="31"/>
        <v>0.17170736042864942</v>
      </c>
      <c r="AB34" s="177">
        <f t="shared" si="31"/>
        <v>0.18443567433598712</v>
      </c>
      <c r="AC34" s="24">
        <f t="shared" si="31"/>
        <v>0.17474499926251177</v>
      </c>
      <c r="AD34" s="25">
        <f t="shared" si="27"/>
        <v>0.18172678184888874</v>
      </c>
      <c r="AE34" s="24">
        <f t="shared" si="27"/>
        <v>0.19342246975728472</v>
      </c>
      <c r="AF34" s="24">
        <f t="shared" si="27"/>
        <v>0.18106705784172961</v>
      </c>
      <c r="AG34" s="177">
        <f t="shared" ref="AG34:AH34" si="32">AG8/AG4*-1</f>
        <v>0.18681921436090643</v>
      </c>
      <c r="AH34" s="24">
        <f t="shared" si="32"/>
        <v>0.16532526502821304</v>
      </c>
      <c r="AI34" s="177">
        <f t="shared" ref="AI34" si="33">AI8/AI4*-1</f>
        <v>0.17873069021937257</v>
      </c>
      <c r="AJ34" s="24">
        <f t="shared" si="27"/>
        <v>0.19663523360480067</v>
      </c>
      <c r="AK34" s="25">
        <f t="shared" si="27"/>
        <v>0.18372604343791069</v>
      </c>
      <c r="AL34" s="24">
        <f t="shared" si="27"/>
        <v>0.1760337319284723</v>
      </c>
      <c r="AM34" s="24">
        <f t="shared" si="27"/>
        <v>0.18833759440188827</v>
      </c>
      <c r="AN34" s="177">
        <f>AN8/AN4*-1</f>
        <v>0.18209831751468183</v>
      </c>
      <c r="AO34" s="24">
        <f t="shared" ref="AO34:AP34" si="34">AO8/AO4*-1</f>
        <v>0.18459882043448744</v>
      </c>
      <c r="AP34" s="177">
        <f t="shared" si="34"/>
        <v>0.18288149107943785</v>
      </c>
      <c r="AQ34" s="24">
        <f t="shared" si="27"/>
        <v>0.17696797881660417</v>
      </c>
      <c r="AR34" s="25">
        <f t="shared" si="27"/>
        <v>0.18138924285668154</v>
      </c>
      <c r="AS34" s="24">
        <f t="shared" ref="AS34" si="35">AS8/AS4*-1</f>
        <v>0.19140056628259075</v>
      </c>
      <c r="AT34" s="24">
        <f>AT8/AT4*-1</f>
        <v>0.19358090455514401</v>
      </c>
      <c r="AU34" s="177">
        <f>AU8/AU4*-1</f>
        <v>0.19252405925283481</v>
      </c>
    </row>
    <row r="35" spans="1:48" x14ac:dyDescent="0.35">
      <c r="A35" s="102" t="s">
        <v>216</v>
      </c>
      <c r="B35" s="95" t="s">
        <v>169</v>
      </c>
      <c r="C35" s="24">
        <f t="shared" ref="C35:AR35" si="36">C9/C4*-1</f>
        <v>5.1472201500724034E-2</v>
      </c>
      <c r="D35" s="24">
        <f>D9/D4*-1</f>
        <v>5.8216047427252567E-2</v>
      </c>
      <c r="E35" s="177">
        <f t="shared" ref="E35:H35" si="37">E9/E4*-1</f>
        <v>5.4792140088223501E-2</v>
      </c>
      <c r="F35" s="24">
        <f t="shared" si="37"/>
        <v>6.217507164764443E-2</v>
      </c>
      <c r="G35" s="177">
        <f t="shared" si="37"/>
        <v>5.7059050559629489E-2</v>
      </c>
      <c r="H35" s="24">
        <f t="shared" si="37"/>
        <v>4.5966992574562736E-2</v>
      </c>
      <c r="I35" s="25">
        <f t="shared" si="36"/>
        <v>5.4031121207495668E-2</v>
      </c>
      <c r="J35" s="24">
        <f t="shared" si="36"/>
        <v>5.2799065881656414E-2</v>
      </c>
      <c r="K35" s="24">
        <f t="shared" si="36"/>
        <v>6.0728879993328329E-2</v>
      </c>
      <c r="L35" s="177">
        <f t="shared" ref="L35:O35" si="38">L9/L4*-1</f>
        <v>5.673603232831792E-2</v>
      </c>
      <c r="M35" s="24">
        <f t="shared" si="38"/>
        <v>5.1961391596164253E-2</v>
      </c>
      <c r="N35" s="177">
        <f t="shared" si="38"/>
        <v>5.5086043152991801E-2</v>
      </c>
      <c r="O35" s="24">
        <f t="shared" si="38"/>
        <v>6.2327458824377409E-2</v>
      </c>
      <c r="P35" s="25">
        <f t="shared" si="36"/>
        <v>5.7064478902862183E-2</v>
      </c>
      <c r="Q35" s="24">
        <f t="shared" si="36"/>
        <v>4.9439282734433557E-2</v>
      </c>
      <c r="R35" s="24">
        <f t="shared" si="36"/>
        <v>5.0857459239724331E-2</v>
      </c>
      <c r="S35" s="177">
        <f t="shared" ref="S35:V35" si="39">S9/S4*-1</f>
        <v>5.0137786517015198E-2</v>
      </c>
      <c r="T35" s="24">
        <f t="shared" si="39"/>
        <v>5.1431766850403425E-2</v>
      </c>
      <c r="U35" s="177">
        <f t="shared" si="39"/>
        <v>5.0565696980467784E-2</v>
      </c>
      <c r="V35" s="24">
        <f t="shared" si="39"/>
        <v>4.7583900204139988E-2</v>
      </c>
      <c r="W35" s="25">
        <f t="shared" si="36"/>
        <v>4.9774514093751325E-2</v>
      </c>
      <c r="X35" s="24">
        <f t="shared" si="36"/>
        <v>5.272758243786109E-2</v>
      </c>
      <c r="Y35" s="24">
        <f t="shared" si="36"/>
        <v>4.7546966499688918E-2</v>
      </c>
      <c r="Z35" s="177">
        <f t="shared" ref="Z35:AC35" si="40">Z9/Z4*-1</f>
        <v>5.0006233090635878E-2</v>
      </c>
      <c r="AA35" s="24">
        <f t="shared" si="40"/>
        <v>4.5385289300270443E-2</v>
      </c>
      <c r="AB35" s="177">
        <f t="shared" si="40"/>
        <v>4.8404101945540706E-2</v>
      </c>
      <c r="AC35" s="24">
        <f t="shared" si="40"/>
        <v>3.7861511056650442E-2</v>
      </c>
      <c r="AD35" s="25">
        <f t="shared" si="36"/>
        <v>4.5457068324360327E-2</v>
      </c>
      <c r="AE35" s="24">
        <f t="shared" si="36"/>
        <v>4.4586063061937319E-2</v>
      </c>
      <c r="AF35" s="24">
        <f t="shared" si="36"/>
        <v>4.421971460116212E-2</v>
      </c>
      <c r="AG35" s="177">
        <f t="shared" ref="AG35:AH35" si="41">AG9/AG4*-1</f>
        <v>4.4390270929137346E-2</v>
      </c>
      <c r="AH35" s="24">
        <f t="shared" si="41"/>
        <v>4.0714944882395881E-2</v>
      </c>
      <c r="AI35" s="177">
        <f t="shared" ref="AI35" si="42">AI9/AI4*-1</f>
        <v>4.3007185717716535E-2</v>
      </c>
      <c r="AJ35" s="24">
        <f t="shared" si="36"/>
        <v>4.4519752821831689E-2</v>
      </c>
      <c r="AK35" s="25">
        <f t="shared" si="36"/>
        <v>4.34291907244427E-2</v>
      </c>
      <c r="AL35" s="24">
        <f t="shared" si="36"/>
        <v>5.8248629878895126E-2</v>
      </c>
      <c r="AM35" s="24">
        <f t="shared" si="36"/>
        <v>6.5353832262750086E-2</v>
      </c>
      <c r="AN35" s="177">
        <f>AN9/AN4*-1</f>
        <v>6.1750790932574809E-2</v>
      </c>
      <c r="AO35" s="24">
        <f t="shared" ref="AO35" si="43">AO9/AO4*-1</f>
        <v>6.383125424304141E-2</v>
      </c>
      <c r="AP35" s="177">
        <f>AP9/AP4*-1</f>
        <v>6.2402405395528091E-2</v>
      </c>
      <c r="AQ35" s="24">
        <f t="shared" si="36"/>
        <v>6.401775782811131E-2</v>
      </c>
      <c r="AR35" s="25">
        <f t="shared" si="36"/>
        <v>6.2810032316638467E-2</v>
      </c>
      <c r="AS35" s="24">
        <f t="shared" ref="AS35" si="44">AS9/AS4*-1</f>
        <v>6.4621101891541161E-2</v>
      </c>
      <c r="AT35" s="24">
        <f>AT9/AT4*-1</f>
        <v>6.3219905577057353E-2</v>
      </c>
      <c r="AU35" s="177">
        <f>AU9/AU4*-1</f>
        <v>6.3899088142999758E-2</v>
      </c>
    </row>
    <row r="36" spans="1:48" x14ac:dyDescent="0.35">
      <c r="A36" s="102" t="s">
        <v>217</v>
      </c>
      <c r="B36" s="95" t="s">
        <v>171</v>
      </c>
      <c r="C36" s="24">
        <f t="shared" ref="C36:AR36" si="45">C10/C4*-1</f>
        <v>9.9548027557154764E-2</v>
      </c>
      <c r="D36" s="24">
        <f>D10/D4*-1</f>
        <v>9.4519618047698789E-2</v>
      </c>
      <c r="E36" s="177">
        <f t="shared" ref="E36:H36" si="46">E10/E4*-1</f>
        <v>9.707258387916054E-2</v>
      </c>
      <c r="F36" s="24">
        <f t="shared" si="46"/>
        <v>9.0934687515712209E-2</v>
      </c>
      <c r="G36" s="177">
        <f t="shared" si="46"/>
        <v>9.5187958317252019E-2</v>
      </c>
      <c r="H36" s="24">
        <f t="shared" si="46"/>
        <v>7.989540247843499E-2</v>
      </c>
      <c r="I36" s="25">
        <f t="shared" si="45"/>
        <v>9.1013369728205729E-2</v>
      </c>
      <c r="J36" s="24">
        <f t="shared" si="45"/>
        <v>9.6215833963753578E-2</v>
      </c>
      <c r="K36" s="24">
        <f t="shared" si="45"/>
        <v>0.10760570427820866</v>
      </c>
      <c r="L36" s="177">
        <f t="shared" ref="L36:O36" si="47">L10/L4*-1</f>
        <v>0.10187063704341634</v>
      </c>
      <c r="M36" s="24">
        <f t="shared" si="47"/>
        <v>9.3604208974650494E-2</v>
      </c>
      <c r="N36" s="177">
        <f t="shared" si="47"/>
        <v>9.901397879471846E-2</v>
      </c>
      <c r="O36" s="24">
        <f t="shared" si="47"/>
        <v>8.8787977078603086E-2</v>
      </c>
      <c r="P36" s="25">
        <f t="shared" si="45"/>
        <v>9.6220120757630062E-2</v>
      </c>
      <c r="Q36" s="24">
        <f t="shared" si="45"/>
        <v>0.10686860973229817</v>
      </c>
      <c r="R36" s="24">
        <f t="shared" si="45"/>
        <v>0.10472367519997669</v>
      </c>
      <c r="S36" s="177">
        <f t="shared" ref="S36:V36" si="48">S10/S4*-1</f>
        <v>0.10581215104846928</v>
      </c>
      <c r="T36" s="24">
        <f t="shared" si="48"/>
        <v>9.6610674161383331E-2</v>
      </c>
      <c r="U36" s="177">
        <f t="shared" si="48"/>
        <v>0.10276928545182509</v>
      </c>
      <c r="V36" s="24">
        <f t="shared" si="48"/>
        <v>7.4374779734950491E-2</v>
      </c>
      <c r="W36" s="25">
        <f t="shared" si="45"/>
        <v>9.5235154628989224E-2</v>
      </c>
      <c r="X36" s="24">
        <f t="shared" si="45"/>
        <v>0.11040214629437733</v>
      </c>
      <c r="Y36" s="24">
        <f t="shared" si="45"/>
        <v>0.10285487046931223</v>
      </c>
      <c r="Z36" s="177">
        <f t="shared" ref="Z36:AC36" si="49">Z10/Z4*-1</f>
        <v>0.1064376033934967</v>
      </c>
      <c r="AA36" s="24">
        <f t="shared" si="49"/>
        <v>0.1049276908035907</v>
      </c>
      <c r="AB36" s="177">
        <f t="shared" si="49"/>
        <v>0.10591410038276901</v>
      </c>
      <c r="AC36" s="24">
        <f t="shared" si="49"/>
        <v>7.3102102408750008E-2</v>
      </c>
      <c r="AD36" s="25">
        <f t="shared" si="45"/>
        <v>9.6741965921074535E-2</v>
      </c>
      <c r="AE36" s="24">
        <f t="shared" si="45"/>
        <v>0.10097169412758766</v>
      </c>
      <c r="AF36" s="24">
        <f t="shared" si="45"/>
        <v>0.10421774490340706</v>
      </c>
      <c r="AG36" s="177">
        <f t="shared" ref="AG36:AH36" si="50">AG10/AG4*-1</f>
        <v>0.10270652113690509</v>
      </c>
      <c r="AH36" s="24">
        <f t="shared" si="50"/>
        <v>8.6172620714669412E-2</v>
      </c>
      <c r="AI36" s="177">
        <f t="shared" ref="AI36" si="51">AI10/AI4*-1</f>
        <v>9.6484544400617156E-2</v>
      </c>
      <c r="AJ36" s="24">
        <f t="shared" si="45"/>
        <v>8.6016752393199031E-2</v>
      </c>
      <c r="AK36" s="25">
        <f t="shared" si="45"/>
        <v>9.3564038841240482E-2</v>
      </c>
      <c r="AL36" s="24">
        <f t="shared" si="45"/>
        <v>8.1801834459797856E-2</v>
      </c>
      <c r="AM36" s="24">
        <f t="shared" si="45"/>
        <v>0.10895413258220754</v>
      </c>
      <c r="AN36" s="177">
        <f>AN10/AN4*-1</f>
        <v>9.5185228185257209E-2</v>
      </c>
      <c r="AO36" s="24">
        <f t="shared" ref="AO36:AP36" si="52">AO10/AO4*-1</f>
        <v>0.10584266802443992</v>
      </c>
      <c r="AP36" s="177">
        <f t="shared" si="52"/>
        <v>9.8523206751054859E-2</v>
      </c>
      <c r="AQ36" s="24">
        <f t="shared" si="45"/>
        <v>9.3686324306765489E-2</v>
      </c>
      <c r="AR36" s="25">
        <f t="shared" si="45"/>
        <v>9.7302641220729347E-2</v>
      </c>
      <c r="AS36" s="24">
        <f t="shared" ref="AS36" si="53">AS10/AS4*-1</f>
        <v>0.11173266742695348</v>
      </c>
      <c r="AT36" s="24">
        <f>AT10/AT4*-1</f>
        <v>0.10467444430572317</v>
      </c>
      <c r="AU36" s="177">
        <f>AU10/AU4*-1</f>
        <v>0.1080956794609393</v>
      </c>
    </row>
    <row r="37" spans="1:48" x14ac:dyDescent="0.35">
      <c r="A37" s="102" t="s">
        <v>218</v>
      </c>
      <c r="B37" s="102" t="s">
        <v>218</v>
      </c>
      <c r="C37" s="24">
        <f t="shared" ref="C37:AR37" si="54">C12/C4*-1</f>
        <v>1.7315371451138706E-2</v>
      </c>
      <c r="D37" s="24">
        <f>D12/D4*-1</f>
        <v>1.0752590849436574E-2</v>
      </c>
      <c r="E37" s="177">
        <f t="shared" ref="E37:H37" si="55">E12/E4*-1</f>
        <v>1.4084569799046473E-2</v>
      </c>
      <c r="F37" s="24">
        <f t="shared" si="55"/>
        <v>1.3303836291417367E-2</v>
      </c>
      <c r="G37" s="177">
        <f t="shared" si="55"/>
        <v>1.38448475492088E-2</v>
      </c>
      <c r="H37" s="24">
        <f t="shared" si="55"/>
        <v>6.0192913353452459E-3</v>
      </c>
      <c r="I37" s="25">
        <f t="shared" si="54"/>
        <v>1.1708613552899767E-2</v>
      </c>
      <c r="J37" s="24">
        <f t="shared" si="54"/>
        <v>1.1799822385948755E-2</v>
      </c>
      <c r="K37" s="24">
        <f t="shared" si="54"/>
        <v>8.8649820698857469E-3</v>
      </c>
      <c r="L37" s="177">
        <f t="shared" ref="L37:O37" si="56">L12/L4*-1</f>
        <v>1.0342743104147862E-2</v>
      </c>
      <c r="M37" s="24">
        <f t="shared" si="56"/>
        <v>1.0263688184605251E-2</v>
      </c>
      <c r="N37" s="177">
        <f t="shared" si="56"/>
        <v>1.0315423821123451E-2</v>
      </c>
      <c r="O37" s="24">
        <f t="shared" si="56"/>
        <v>8.93790319674199E-4</v>
      </c>
      <c r="P37" s="25">
        <f t="shared" si="54"/>
        <v>7.7413281763864875E-3</v>
      </c>
      <c r="Q37" s="24">
        <f t="shared" si="54"/>
        <v>1.2678008287019361E-2</v>
      </c>
      <c r="R37" s="24">
        <f t="shared" si="54"/>
        <v>9.5507991782378746E-3</v>
      </c>
      <c r="S37" s="177">
        <f t="shared" ref="S37:V37" si="57">S12/S4*-1</f>
        <v>1.1137743458728632E-2</v>
      </c>
      <c r="T37" s="24">
        <f t="shared" si="57"/>
        <v>1.0479531144469378E-2</v>
      </c>
      <c r="U37" s="177">
        <f t="shared" si="57"/>
        <v>1.0920077139405701E-2</v>
      </c>
      <c r="V37" s="24">
        <f t="shared" si="57"/>
        <v>6.8822438109677033E-3</v>
      </c>
      <c r="W37" s="25">
        <f t="shared" si="54"/>
        <v>9.8486880178412627E-3</v>
      </c>
      <c r="X37" s="24">
        <f t="shared" si="54"/>
        <v>1.3265291637685068E-2</v>
      </c>
      <c r="Y37" s="24">
        <f t="shared" si="54"/>
        <v>8.5691012064730062E-3</v>
      </c>
      <c r="Z37" s="177">
        <f t="shared" ref="Z37:AC37" si="58">Z12/Z4*-1</f>
        <v>1.0798408371883034E-2</v>
      </c>
      <c r="AA37" s="24">
        <f t="shared" si="58"/>
        <v>7.9673434147208566E-3</v>
      </c>
      <c r="AB37" s="177">
        <f t="shared" si="58"/>
        <v>9.8168475593247949E-3</v>
      </c>
      <c r="AC37" s="24">
        <f t="shared" si="58"/>
        <v>6.1608632016065899E-3</v>
      </c>
      <c r="AD37" s="25">
        <f t="shared" si="54"/>
        <v>8.7948683386325621E-3</v>
      </c>
      <c r="AE37" s="24">
        <f t="shared" si="54"/>
        <v>1.2085185383530588E-2</v>
      </c>
      <c r="AF37" s="24">
        <f t="shared" si="54"/>
        <v>9.3560643365487792E-3</v>
      </c>
      <c r="AG37" s="177">
        <f t="shared" ref="AG37:AH37" si="59">AG12/AG4*-1</f>
        <v>1.0626627513989694E-2</v>
      </c>
      <c r="AH37" s="24">
        <f t="shared" si="59"/>
        <v>8.1999201127603803E-3</v>
      </c>
      <c r="AI37" s="177">
        <f t="shared" ref="AI37" si="60">AI12/AI4*-1</f>
        <v>9.7134178894826596E-3</v>
      </c>
      <c r="AJ37" s="24">
        <f t="shared" si="54"/>
        <v>9.3986640948706957E-3</v>
      </c>
      <c r="AK37" s="25">
        <f t="shared" si="54"/>
        <v>9.6256018336852468E-3</v>
      </c>
      <c r="AL37" s="24">
        <f t="shared" si="54"/>
        <v>1.0660472304236047E-2</v>
      </c>
      <c r="AM37" s="24">
        <f t="shared" si="54"/>
        <v>1.6277118307218952E-2</v>
      </c>
      <c r="AN37" s="177">
        <f>AN12/AN4*-1</f>
        <v>1.3428922493445176E-2</v>
      </c>
      <c r="AO37" s="24">
        <f t="shared" ref="AO37:AP37" si="61">AO12/AO4*-1</f>
        <v>1.7067634080108623E-2</v>
      </c>
      <c r="AP37" s="177">
        <f t="shared" si="61"/>
        <v>1.4568590318615236E-2</v>
      </c>
      <c r="AQ37" s="24">
        <f>AQ12/AQ4*-1</f>
        <v>1.4041874612408824E-2</v>
      </c>
      <c r="AR37" s="25">
        <f t="shared" si="54"/>
        <v>1.4435675979124594E-2</v>
      </c>
      <c r="AS37" s="24">
        <f t="shared" ref="AS37" si="62">AS12/AS4*-1</f>
        <v>1.7701246608203231E-2</v>
      </c>
      <c r="AT37" s="24">
        <f>AT12/AT4*-1</f>
        <v>9.7197367995153997E-3</v>
      </c>
      <c r="AU37" s="177">
        <f>AU12/AU4*-1</f>
        <v>1.3588503977907661E-2</v>
      </c>
    </row>
    <row r="38" spans="1:48" x14ac:dyDescent="0.35">
      <c r="A38" s="102" t="s">
        <v>219</v>
      </c>
      <c r="B38" s="102" t="s">
        <v>219</v>
      </c>
      <c r="C38" s="24">
        <f t="shared" ref="C38:AR38" si="63">C15/C4</f>
        <v>0.15518013076484269</v>
      </c>
      <c r="D38" s="24">
        <f>D15/D4</f>
        <v>0.16293614517807847</v>
      </c>
      <c r="E38" s="177">
        <f t="shared" ref="E38:H38" si="64">E15/E4</f>
        <v>0.15899835137904914</v>
      </c>
      <c r="F38" s="24">
        <f t="shared" si="64"/>
        <v>0.15939464025340641</v>
      </c>
      <c r="G38" s="177">
        <f t="shared" si="64"/>
        <v>0.1591200308761096</v>
      </c>
      <c r="H38" s="24">
        <f t="shared" si="64"/>
        <v>-5.3408875987796957E-2</v>
      </c>
      <c r="I38" s="25">
        <f t="shared" si="63"/>
        <v>0.10110351886936456</v>
      </c>
      <c r="J38" s="24">
        <f t="shared" si="63"/>
        <v>0.14141696543104298</v>
      </c>
      <c r="K38" s="24">
        <f t="shared" si="63"/>
        <v>0.14354098907513968</v>
      </c>
      <c r="L38" s="177">
        <f t="shared" ref="L38:O38" si="65">L15/L4</f>
        <v>0.14247149328011527</v>
      </c>
      <c r="M38" s="24">
        <f t="shared" si="65"/>
        <v>0.13890086798340873</v>
      </c>
      <c r="N38" s="177">
        <f>N15/N4</f>
        <v>0.14123757989914892</v>
      </c>
      <c r="O38" s="24">
        <f t="shared" si="65"/>
        <v>-8.8146466284643385E-2</v>
      </c>
      <c r="P38" s="25">
        <f t="shared" si="63"/>
        <v>7.8567293036152452E-2</v>
      </c>
      <c r="Q38" s="24">
        <f t="shared" si="63"/>
        <v>0.17817798707451246</v>
      </c>
      <c r="R38" s="24">
        <f t="shared" si="63"/>
        <v>0.19759445164862385</v>
      </c>
      <c r="S38" s="177">
        <f t="shared" ref="S38:V38" si="66">S15/S4</f>
        <v>0.18774130581430395</v>
      </c>
      <c r="T38" s="24">
        <f t="shared" si="66"/>
        <v>0.2175864397917166</v>
      </c>
      <c r="U38" s="177">
        <f t="shared" si="66"/>
        <v>0.1976108878956937</v>
      </c>
      <c r="V38" s="24">
        <f t="shared" si="66"/>
        <v>0.21814385551942655</v>
      </c>
      <c r="W38" s="25">
        <f t="shared" si="63"/>
        <v>0.20305905684079778</v>
      </c>
      <c r="X38" s="24">
        <f t="shared" si="63"/>
        <v>0.1730662767754482</v>
      </c>
      <c r="Y38" s="24">
        <f t="shared" si="63"/>
        <v>0.23357214785547981</v>
      </c>
      <c r="Z38" s="177">
        <f t="shared" ref="Z38:AC38" si="67">Z15/Z4</f>
        <v>0.20484968143852994</v>
      </c>
      <c r="AA38" s="24">
        <f>AA15/AA4</f>
        <v>0.21035056311024772</v>
      </c>
      <c r="AB38" s="177">
        <f t="shared" si="67"/>
        <v>0.20675689655551913</v>
      </c>
      <c r="AC38" s="24">
        <f t="shared" si="67"/>
        <v>0.23768678307634705</v>
      </c>
      <c r="AD38" s="25">
        <f t="shared" si="63"/>
        <v>0.21540291312173424</v>
      </c>
      <c r="AE38" s="24">
        <f t="shared" si="63"/>
        <v>0.22303742182711819</v>
      </c>
      <c r="AF38" s="24">
        <f t="shared" si="63"/>
        <v>0.26939245191086597</v>
      </c>
      <c r="AG38" s="177">
        <f t="shared" ref="AG38:AH38" si="68">AG15/AG4</f>
        <v>0.24781151310321903</v>
      </c>
      <c r="AH38" s="24">
        <f t="shared" si="68"/>
        <v>0.29769474810267804</v>
      </c>
      <c r="AI38" s="177">
        <f t="shared" ref="AI38" si="69">AI15/AI4</f>
        <v>0.26658338905331325</v>
      </c>
      <c r="AJ38" s="24">
        <f t="shared" si="63"/>
        <v>-3.3040434347763967E-3</v>
      </c>
      <c r="AK38" s="25">
        <f t="shared" si="63"/>
        <v>0.1912850122391016</v>
      </c>
      <c r="AL38" s="24">
        <f t="shared" si="63"/>
        <v>0.25819330035821098</v>
      </c>
      <c r="AM38" s="24">
        <f t="shared" si="63"/>
        <v>0.20061536045695666</v>
      </c>
      <c r="AN38" s="177">
        <f>AN15/AN4</f>
        <v>0.22981307868690681</v>
      </c>
      <c r="AO38" s="24">
        <f t="shared" ref="AO38:AP38" si="70">AO15/AO4</f>
        <v>0.26199719959266804</v>
      </c>
      <c r="AP38" s="177">
        <f t="shared" si="70"/>
        <v>0.23989335193860262</v>
      </c>
      <c r="AQ38" s="24">
        <f t="shared" si="63"/>
        <v>0.22124934786246542</v>
      </c>
      <c r="AR38" s="25">
        <f t="shared" si="63"/>
        <v>0.23518862136375718</v>
      </c>
      <c r="AS38" s="24">
        <f t="shared" ref="AS38" si="71">AS15/AS4</f>
        <v>0.31266958983837351</v>
      </c>
      <c r="AT38" s="24">
        <f>AT15/AT4</f>
        <v>0.29075052829682652</v>
      </c>
      <c r="AU38" s="177">
        <f>AU15/AU4</f>
        <v>0.30137505271710513</v>
      </c>
    </row>
    <row r="39" spans="1:48" x14ac:dyDescent="0.35">
      <c r="A39" s="102"/>
      <c r="B39" s="10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row>
    <row r="40" spans="1:48" x14ac:dyDescent="0.35">
      <c r="A40" s="249" t="s">
        <v>220</v>
      </c>
      <c r="B40" s="249" t="s">
        <v>221</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26"/>
      <c r="AD40" s="26"/>
      <c r="AE40" s="26"/>
      <c r="AF40" s="26"/>
      <c r="AG40" s="26"/>
      <c r="AH40" s="26"/>
      <c r="AI40" s="26"/>
      <c r="AJ40" s="26"/>
      <c r="AK40" s="26"/>
      <c r="AL40" s="26"/>
      <c r="AM40" s="26"/>
      <c r="AN40" s="26"/>
      <c r="AO40" s="26"/>
      <c r="AP40" s="26"/>
      <c r="AQ40" s="26"/>
      <c r="AR40" s="26"/>
      <c r="AS40" s="26"/>
      <c r="AT40" s="26"/>
      <c r="AU40" s="432"/>
    </row>
    <row r="41" spans="1:48" ht="15" thickBot="1" x14ac:dyDescent="0.4">
      <c r="AA41" s="353"/>
      <c r="AB41" s="353"/>
      <c r="AU41" s="353"/>
    </row>
    <row r="42" spans="1:48" ht="15" thickBot="1" x14ac:dyDescent="0.4">
      <c r="A42" s="477" t="s">
        <v>222</v>
      </c>
      <c r="B42" s="477" t="s">
        <v>223</v>
      </c>
      <c r="C42" s="1" t="s">
        <v>37</v>
      </c>
      <c r="D42" s="1"/>
      <c r="E42" s="1" t="s">
        <v>145</v>
      </c>
      <c r="F42" s="1"/>
      <c r="G42" s="1" t="s">
        <v>146</v>
      </c>
      <c r="H42" s="1"/>
      <c r="I42" s="1">
        <v>2018</v>
      </c>
      <c r="J42" s="1" t="s">
        <v>41</v>
      </c>
      <c r="K42" s="1"/>
      <c r="L42" s="1" t="s">
        <v>147</v>
      </c>
      <c r="M42" s="1"/>
      <c r="N42" s="1" t="s">
        <v>148</v>
      </c>
      <c r="O42" s="1"/>
      <c r="P42" s="1">
        <v>2019</v>
      </c>
      <c r="Q42" s="1" t="s">
        <v>45</v>
      </c>
      <c r="R42" s="1"/>
      <c r="S42" s="1" t="s">
        <v>224</v>
      </c>
      <c r="T42" s="1"/>
      <c r="U42" s="1" t="s">
        <v>225</v>
      </c>
      <c r="V42" s="1"/>
      <c r="W42" s="1">
        <v>2020</v>
      </c>
      <c r="X42" s="1" t="s">
        <v>49</v>
      </c>
      <c r="Y42" s="1"/>
      <c r="Z42" s="1" t="s">
        <v>153</v>
      </c>
      <c r="AA42" s="1"/>
      <c r="AB42" s="1" t="s">
        <v>154</v>
      </c>
      <c r="AC42" s="1"/>
      <c r="AD42" s="1">
        <v>2021</v>
      </c>
      <c r="AE42" s="1" t="s">
        <v>53</v>
      </c>
      <c r="AF42" s="1"/>
      <c r="AG42" s="1" t="s">
        <v>155</v>
      </c>
      <c r="AH42" s="1"/>
      <c r="AI42" s="1" t="s">
        <v>156</v>
      </c>
      <c r="AJ42" s="1"/>
      <c r="AK42" s="1">
        <v>2022</v>
      </c>
      <c r="AL42" s="1" t="s">
        <v>57</v>
      </c>
      <c r="AM42" s="1"/>
      <c r="AN42" s="1" t="s">
        <v>159</v>
      </c>
      <c r="AO42" s="1"/>
      <c r="AP42" s="1" t="s">
        <v>160</v>
      </c>
      <c r="AQ42" s="1"/>
      <c r="AR42" s="1">
        <v>2023</v>
      </c>
      <c r="AS42" s="1" t="s">
        <v>61</v>
      </c>
      <c r="AT42" s="1"/>
      <c r="AU42" s="1" t="s">
        <v>1167</v>
      </c>
    </row>
    <row r="43" spans="1:48" ht="15" thickTop="1" x14ac:dyDescent="0.35">
      <c r="A43" s="478"/>
      <c r="B43" s="478"/>
      <c r="C43" s="2" t="s">
        <v>62</v>
      </c>
      <c r="D43" s="2"/>
      <c r="E43" s="2" t="s">
        <v>62</v>
      </c>
      <c r="F43" s="2"/>
      <c r="G43" s="2" t="s">
        <v>62</v>
      </c>
      <c r="H43" s="2"/>
      <c r="I43" s="2" t="s">
        <v>62</v>
      </c>
      <c r="J43" s="2" t="s">
        <v>62</v>
      </c>
      <c r="K43" s="2"/>
      <c r="L43" s="2" t="s">
        <v>62</v>
      </c>
      <c r="M43" s="2"/>
      <c r="N43" s="2" t="s">
        <v>62</v>
      </c>
      <c r="O43" s="2"/>
      <c r="P43" s="2" t="s">
        <v>62</v>
      </c>
      <c r="Q43" s="2" t="s">
        <v>62</v>
      </c>
      <c r="R43" s="2"/>
      <c r="S43" s="2" t="s">
        <v>62</v>
      </c>
      <c r="T43" s="2"/>
      <c r="U43" s="2" t="s">
        <v>62</v>
      </c>
      <c r="V43" s="2"/>
      <c r="W43" s="2" t="s">
        <v>62</v>
      </c>
      <c r="X43" s="2" t="s">
        <v>62</v>
      </c>
      <c r="Y43" s="2"/>
      <c r="Z43" s="2" t="s">
        <v>62</v>
      </c>
      <c r="AA43" s="2"/>
      <c r="AB43" s="2" t="s">
        <v>62</v>
      </c>
      <c r="AC43" s="2"/>
      <c r="AD43" s="2" t="s">
        <v>62</v>
      </c>
      <c r="AE43" s="2" t="s">
        <v>62</v>
      </c>
      <c r="AF43" s="2"/>
      <c r="AG43" s="2" t="s">
        <v>62</v>
      </c>
      <c r="AH43" s="2"/>
      <c r="AI43" s="2" t="s">
        <v>62</v>
      </c>
      <c r="AJ43" s="2"/>
      <c r="AK43" s="2" t="s">
        <v>62</v>
      </c>
      <c r="AL43" s="2" t="s">
        <v>62</v>
      </c>
      <c r="AM43" s="2"/>
      <c r="AN43" s="2" t="s">
        <v>62</v>
      </c>
      <c r="AO43" s="2"/>
      <c r="AP43" s="2" t="s">
        <v>62</v>
      </c>
      <c r="AQ43" s="2"/>
      <c r="AR43" s="2" t="s">
        <v>62</v>
      </c>
      <c r="AS43" s="2" t="s">
        <v>62</v>
      </c>
      <c r="AT43" s="2"/>
      <c r="AU43" s="2" t="s">
        <v>62</v>
      </c>
    </row>
    <row r="44" spans="1:48" s="31" customFormat="1" x14ac:dyDescent="0.35">
      <c r="A44" s="103" t="s">
        <v>197</v>
      </c>
      <c r="B44" s="103" t="s">
        <v>198</v>
      </c>
      <c r="C44" s="29">
        <v>14230</v>
      </c>
      <c r="D44" s="29"/>
      <c r="E44" s="383">
        <v>38934</v>
      </c>
      <c r="F44" s="29"/>
      <c r="G44" s="383">
        <v>48011</v>
      </c>
      <c r="H44" s="29"/>
      <c r="I44" s="149">
        <v>36193</v>
      </c>
      <c r="J44" s="29">
        <v>21632</v>
      </c>
      <c r="K44" s="29"/>
      <c r="L44" s="383">
        <v>39569</v>
      </c>
      <c r="M44" s="29"/>
      <c r="N44" s="383">
        <v>62047</v>
      </c>
      <c r="O44" s="29"/>
      <c r="P44" s="149">
        <v>48430</v>
      </c>
      <c r="Q44" s="29">
        <v>29110</v>
      </c>
      <c r="R44" s="29"/>
      <c r="S44" s="383">
        <v>61296</v>
      </c>
      <c r="T44" s="29"/>
      <c r="U44" s="383">
        <v>84304</v>
      </c>
      <c r="V44" s="29"/>
      <c r="W44" s="149">
        <v>106052</v>
      </c>
      <c r="X44" s="29">
        <v>26952</v>
      </c>
      <c r="Y44" s="29"/>
      <c r="Z44" s="383">
        <v>55634</v>
      </c>
      <c r="AA44" s="29"/>
      <c r="AB44" s="383">
        <v>94121</v>
      </c>
      <c r="AC44" s="29"/>
      <c r="AD44" s="149">
        <v>141180</v>
      </c>
      <c r="AE44" s="29">
        <v>37906</v>
      </c>
      <c r="AF44" s="29"/>
      <c r="AG44" s="383">
        <v>115089</v>
      </c>
      <c r="AH44" s="29"/>
      <c r="AI44" s="383">
        <v>197257</v>
      </c>
      <c r="AJ44" s="29"/>
      <c r="AK44" s="149">
        <v>170750</v>
      </c>
      <c r="AL44" s="29">
        <v>39036</v>
      </c>
      <c r="AM44" s="29"/>
      <c r="AN44" s="383">
        <v>69045</v>
      </c>
      <c r="AO44" s="29"/>
      <c r="AP44" s="383">
        <v>123749</v>
      </c>
      <c r="AQ44" s="29"/>
      <c r="AR44" s="149">
        <v>160651</v>
      </c>
      <c r="AS44" s="381">
        <v>68537</v>
      </c>
      <c r="AT44" s="29"/>
      <c r="AU44" s="383">
        <f>AU23</f>
        <v>138807</v>
      </c>
      <c r="AV44"/>
    </row>
    <row r="45" spans="1:48" x14ac:dyDescent="0.35">
      <c r="A45" s="105" t="s">
        <v>226</v>
      </c>
      <c r="B45" s="106" t="s">
        <v>227</v>
      </c>
      <c r="C45" s="8" t="s">
        <v>178</v>
      </c>
      <c r="D45" s="8"/>
      <c r="E45" s="384" t="s">
        <v>178</v>
      </c>
      <c r="F45" s="8"/>
      <c r="G45" s="384" t="s">
        <v>178</v>
      </c>
      <c r="H45" s="8"/>
      <c r="I45" s="9">
        <v>-353</v>
      </c>
      <c r="J45" s="8" t="s">
        <v>178</v>
      </c>
      <c r="K45" s="8"/>
      <c r="L45" s="384" t="s">
        <v>178</v>
      </c>
      <c r="M45" s="8"/>
      <c r="N45" s="384" t="s">
        <v>178</v>
      </c>
      <c r="O45" s="8"/>
      <c r="P45" s="9">
        <v>-640</v>
      </c>
      <c r="Q45" s="8" t="s">
        <v>178</v>
      </c>
      <c r="R45" s="8"/>
      <c r="S45" s="384" t="s">
        <v>178</v>
      </c>
      <c r="T45" s="8"/>
      <c r="U45" s="384">
        <v>-716</v>
      </c>
      <c r="V45" s="8"/>
      <c r="W45" s="9">
        <v>-1707</v>
      </c>
      <c r="X45" s="8" t="s">
        <v>178</v>
      </c>
      <c r="Y45" s="8"/>
      <c r="Z45" s="384" t="s">
        <v>178</v>
      </c>
      <c r="AA45" s="8"/>
      <c r="AB45" s="384" t="s">
        <v>178</v>
      </c>
      <c r="AC45" s="8"/>
      <c r="AD45" s="9">
        <v>631</v>
      </c>
      <c r="AE45" s="8" t="s">
        <v>178</v>
      </c>
      <c r="AF45" s="8"/>
      <c r="AG45" s="384" t="s">
        <v>178</v>
      </c>
      <c r="AH45" s="8"/>
      <c r="AI45" s="384">
        <v>400</v>
      </c>
      <c r="AJ45" s="8"/>
      <c r="AK45" s="9">
        <v>1131</v>
      </c>
      <c r="AL45" s="8" t="s">
        <v>178</v>
      </c>
      <c r="AM45" s="8"/>
      <c r="AN45" s="384" t="s">
        <v>178</v>
      </c>
      <c r="AO45" s="8"/>
      <c r="AP45" s="384">
        <v>-292</v>
      </c>
      <c r="AQ45" s="8"/>
      <c r="AR45" s="9">
        <v>-657</v>
      </c>
      <c r="AS45" s="347">
        <v>0</v>
      </c>
      <c r="AT45" s="8"/>
      <c r="AU45" s="384">
        <v>177</v>
      </c>
    </row>
    <row r="46" spans="1:48" x14ac:dyDescent="0.35">
      <c r="A46" s="105" t="s">
        <v>228</v>
      </c>
      <c r="B46" s="106" t="s">
        <v>229</v>
      </c>
      <c r="C46" s="8">
        <v>-1492</v>
      </c>
      <c r="D46" s="8"/>
      <c r="E46" s="384">
        <v>-3631</v>
      </c>
      <c r="F46" s="8"/>
      <c r="G46" s="384">
        <v>-4799</v>
      </c>
      <c r="H46" s="8"/>
      <c r="I46" s="9">
        <v>-5154</v>
      </c>
      <c r="J46" s="8">
        <v>1659</v>
      </c>
      <c r="K46" s="8"/>
      <c r="L46" s="384">
        <v>2177</v>
      </c>
      <c r="M46" s="8"/>
      <c r="N46" s="384">
        <v>3404</v>
      </c>
      <c r="O46" s="8"/>
      <c r="P46" s="9">
        <v>3810</v>
      </c>
      <c r="Q46" s="8">
        <v>-773</v>
      </c>
      <c r="R46" s="8"/>
      <c r="S46" s="384">
        <v>-1094</v>
      </c>
      <c r="T46" s="8"/>
      <c r="U46" s="384">
        <v>-1047</v>
      </c>
      <c r="V46" s="8"/>
      <c r="W46" s="9">
        <v>-1077</v>
      </c>
      <c r="X46" s="8">
        <v>-215</v>
      </c>
      <c r="Y46" s="8"/>
      <c r="Z46" s="384">
        <v>1076</v>
      </c>
      <c r="AA46" s="8"/>
      <c r="AB46" s="384">
        <v>2317</v>
      </c>
      <c r="AC46" s="8"/>
      <c r="AD46" s="9">
        <v>2154</v>
      </c>
      <c r="AE46" s="8">
        <v>-1322</v>
      </c>
      <c r="AF46" s="8"/>
      <c r="AG46" s="384">
        <v>-2960</v>
      </c>
      <c r="AH46" s="8"/>
      <c r="AI46" s="384">
        <v>-2367</v>
      </c>
      <c r="AJ46" s="8"/>
      <c r="AK46" s="9">
        <v>1209</v>
      </c>
      <c r="AL46" s="8">
        <v>-2464</v>
      </c>
      <c r="AM46" s="8"/>
      <c r="AN46" s="384">
        <v>-2755</v>
      </c>
      <c r="AO46" s="8"/>
      <c r="AP46" s="384">
        <v>1115</v>
      </c>
      <c r="AQ46" s="8"/>
      <c r="AR46" s="9">
        <v>2189</v>
      </c>
      <c r="AS46" s="347">
        <v>-947</v>
      </c>
      <c r="AT46" s="8"/>
      <c r="AU46" s="384">
        <v>1736</v>
      </c>
    </row>
    <row r="47" spans="1:48" s="31" customFormat="1" x14ac:dyDescent="0.35">
      <c r="A47" s="103" t="s">
        <v>230</v>
      </c>
      <c r="B47" s="92" t="s">
        <v>231</v>
      </c>
      <c r="C47" s="29">
        <v>-1492</v>
      </c>
      <c r="D47" s="29"/>
      <c r="E47" s="383">
        <v>-3631</v>
      </c>
      <c r="F47" s="29"/>
      <c r="G47" s="383">
        <v>-4799</v>
      </c>
      <c r="H47" s="29"/>
      <c r="I47" s="149">
        <v>-5507</v>
      </c>
      <c r="J47" s="29">
        <v>1659</v>
      </c>
      <c r="K47" s="29"/>
      <c r="L47" s="383">
        <v>2177</v>
      </c>
      <c r="M47" s="29"/>
      <c r="N47" s="383">
        <v>3404</v>
      </c>
      <c r="O47" s="29"/>
      <c r="P47" s="149">
        <v>3170</v>
      </c>
      <c r="Q47" s="29">
        <v>-773</v>
      </c>
      <c r="R47" s="29"/>
      <c r="S47" s="383">
        <v>-1094</v>
      </c>
      <c r="T47" s="29"/>
      <c r="U47" s="383">
        <v>-1763</v>
      </c>
      <c r="V47" s="29"/>
      <c r="W47" s="149">
        <v>-2784</v>
      </c>
      <c r="X47" s="29">
        <v>-215</v>
      </c>
      <c r="Y47" s="29"/>
      <c r="Z47" s="383">
        <v>1076</v>
      </c>
      <c r="AA47" s="29"/>
      <c r="AB47" s="383">
        <v>2317</v>
      </c>
      <c r="AC47" s="29"/>
      <c r="AD47" s="149">
        <v>2785</v>
      </c>
      <c r="AE47" s="29">
        <v>-1322</v>
      </c>
      <c r="AF47" s="29"/>
      <c r="AG47" s="383">
        <v>-2960</v>
      </c>
      <c r="AH47" s="29"/>
      <c r="AI47" s="383">
        <v>-1967</v>
      </c>
      <c r="AJ47" s="29"/>
      <c r="AK47" s="149">
        <v>2340</v>
      </c>
      <c r="AL47" s="29">
        <v>-2464</v>
      </c>
      <c r="AM47" s="29"/>
      <c r="AN47" s="383">
        <v>-2755</v>
      </c>
      <c r="AO47" s="29"/>
      <c r="AP47" s="383">
        <v>823</v>
      </c>
      <c r="AQ47" s="29"/>
      <c r="AR47" s="149">
        <v>1532</v>
      </c>
      <c r="AS47" s="381">
        <v>-947</v>
      </c>
      <c r="AT47" s="29"/>
      <c r="AU47" s="383">
        <f>SUM(AU45:AU46)</f>
        <v>1913</v>
      </c>
    </row>
    <row r="48" spans="1:48" x14ac:dyDescent="0.35">
      <c r="A48" s="105" t="s">
        <v>232</v>
      </c>
      <c r="B48" s="105" t="s">
        <v>233</v>
      </c>
      <c r="C48" s="8">
        <v>442</v>
      </c>
      <c r="D48" s="8"/>
      <c r="E48" s="384">
        <v>11776</v>
      </c>
      <c r="F48" s="8"/>
      <c r="G48" s="384">
        <v>7347</v>
      </c>
      <c r="H48" s="8"/>
      <c r="I48" s="9">
        <v>4609</v>
      </c>
      <c r="J48" s="8">
        <v>3970</v>
      </c>
      <c r="K48" s="8"/>
      <c r="L48" s="384">
        <v>4722</v>
      </c>
      <c r="M48" s="8"/>
      <c r="N48" s="384">
        <v>12807</v>
      </c>
      <c r="O48" s="8"/>
      <c r="P48" s="9">
        <v>8460</v>
      </c>
      <c r="Q48" s="8">
        <v>1656</v>
      </c>
      <c r="R48" s="8"/>
      <c r="S48" s="384">
        <v>3351</v>
      </c>
      <c r="T48" s="8"/>
      <c r="U48" s="384">
        <v>171</v>
      </c>
      <c r="V48" s="8"/>
      <c r="W48" s="9">
        <v>-591</v>
      </c>
      <c r="X48" s="8">
        <v>2016</v>
      </c>
      <c r="Y48" s="8"/>
      <c r="Z48" s="384">
        <v>-1418</v>
      </c>
      <c r="AA48" s="8"/>
      <c r="AB48" s="384">
        <v>3731</v>
      </c>
      <c r="AC48" s="8"/>
      <c r="AD48" s="9">
        <v>8626</v>
      </c>
      <c r="AE48" s="8">
        <v>-2540</v>
      </c>
      <c r="AF48" s="8"/>
      <c r="AG48" s="384">
        <v>38366</v>
      </c>
      <c r="AH48" s="8"/>
      <c r="AI48" s="384">
        <v>50312</v>
      </c>
      <c r="AJ48" s="8"/>
      <c r="AK48" s="9">
        <v>20240</v>
      </c>
      <c r="AL48" s="8">
        <v>-4140</v>
      </c>
      <c r="AM48" s="8"/>
      <c r="AN48" s="384">
        <v>-4779</v>
      </c>
      <c r="AO48" s="8"/>
      <c r="AP48" s="384">
        <v>-1830</v>
      </c>
      <c r="AQ48" s="8"/>
      <c r="AR48" s="9">
        <v>1199</v>
      </c>
      <c r="AS48" s="347">
        <v>854</v>
      </c>
      <c r="AT48" s="8"/>
      <c r="AU48" s="384">
        <v>-2573</v>
      </c>
    </row>
    <row r="49" spans="1:48" x14ac:dyDescent="0.35">
      <c r="A49" s="109" t="s">
        <v>234</v>
      </c>
      <c r="B49" s="105" t="s">
        <v>235</v>
      </c>
      <c r="C49" s="8" t="s">
        <v>178</v>
      </c>
      <c r="D49" s="8"/>
      <c r="E49" s="384" t="s">
        <v>178</v>
      </c>
      <c r="F49" s="8"/>
      <c r="G49" s="384" t="s">
        <v>178</v>
      </c>
      <c r="H49" s="8"/>
      <c r="I49" s="9">
        <v>-95</v>
      </c>
      <c r="J49" s="8">
        <v>19</v>
      </c>
      <c r="K49" s="8"/>
      <c r="L49" s="384">
        <v>26</v>
      </c>
      <c r="M49" s="8"/>
      <c r="N49" s="384">
        <v>-155</v>
      </c>
      <c r="O49" s="8"/>
      <c r="P49" s="9">
        <v>-179</v>
      </c>
      <c r="Q49" s="8">
        <v>-239</v>
      </c>
      <c r="R49" s="8"/>
      <c r="S49" s="384">
        <v>-242</v>
      </c>
      <c r="T49" s="8"/>
      <c r="U49" s="384">
        <v>-309</v>
      </c>
      <c r="V49" s="8"/>
      <c r="W49" s="9">
        <v>-103</v>
      </c>
      <c r="X49" s="8">
        <v>208</v>
      </c>
      <c r="Y49" s="8"/>
      <c r="Z49" s="384">
        <v>67</v>
      </c>
      <c r="AA49" s="8"/>
      <c r="AB49" s="384">
        <v>183</v>
      </c>
      <c r="AC49" s="8"/>
      <c r="AD49" s="9">
        <v>-53</v>
      </c>
      <c r="AE49" s="8">
        <v>-459</v>
      </c>
      <c r="AF49" s="8"/>
      <c r="AG49" s="384">
        <v>-838</v>
      </c>
      <c r="AH49" s="8"/>
      <c r="AI49" s="384">
        <v>-1260</v>
      </c>
      <c r="AJ49" s="8"/>
      <c r="AK49" s="9">
        <v>-909</v>
      </c>
      <c r="AL49" s="8">
        <v>207</v>
      </c>
      <c r="AM49" s="8"/>
      <c r="AN49" s="384">
        <v>113</v>
      </c>
      <c r="AO49" s="8"/>
      <c r="AP49" s="384">
        <v>-120</v>
      </c>
      <c r="AQ49" s="8"/>
      <c r="AR49" s="9">
        <v>86</v>
      </c>
      <c r="AS49" s="347">
        <v>-195</v>
      </c>
      <c r="AT49" s="8"/>
      <c r="AU49" s="384">
        <v>-59</v>
      </c>
      <c r="AV49" s="104"/>
    </row>
    <row r="50" spans="1:48" x14ac:dyDescent="0.35">
      <c r="A50" s="105" t="s">
        <v>236</v>
      </c>
      <c r="B50" s="105" t="s">
        <v>237</v>
      </c>
      <c r="C50" s="8" t="s">
        <v>178</v>
      </c>
      <c r="D50" s="8"/>
      <c r="E50" s="384" t="s">
        <v>178</v>
      </c>
      <c r="F50" s="8"/>
      <c r="G50" s="384" t="s">
        <v>178</v>
      </c>
      <c r="H50" s="8"/>
      <c r="I50" s="9" t="s">
        <v>178</v>
      </c>
      <c r="J50" s="8" t="s">
        <v>178</v>
      </c>
      <c r="K50" s="8"/>
      <c r="L50" s="384" t="s">
        <v>178</v>
      </c>
      <c r="M50" s="8"/>
      <c r="N50" s="384" t="s">
        <v>178</v>
      </c>
      <c r="O50" s="8"/>
      <c r="P50" s="9" t="s">
        <v>178</v>
      </c>
      <c r="Q50" s="8" t="s">
        <v>178</v>
      </c>
      <c r="R50" s="8"/>
      <c r="S50" s="384" t="s">
        <v>178</v>
      </c>
      <c r="T50" s="8"/>
      <c r="U50" s="384" t="s">
        <v>178</v>
      </c>
      <c r="V50" s="8"/>
      <c r="W50" s="9" t="s">
        <v>178</v>
      </c>
      <c r="X50" s="8" t="s">
        <v>178</v>
      </c>
      <c r="Y50" s="8"/>
      <c r="Z50" s="384" t="s">
        <v>178</v>
      </c>
      <c r="AA50" s="8"/>
      <c r="AB50" s="384" t="s">
        <v>178</v>
      </c>
      <c r="AC50" s="8"/>
      <c r="AD50" s="9">
        <v>-23</v>
      </c>
      <c r="AE50" s="8">
        <v>-1155</v>
      </c>
      <c r="AF50" s="8"/>
      <c r="AG50" s="384">
        <v>-8383</v>
      </c>
      <c r="AH50" s="8"/>
      <c r="AI50" s="384">
        <v>-13713</v>
      </c>
      <c r="AJ50" s="8"/>
      <c r="AK50" s="9">
        <v>-8432</v>
      </c>
      <c r="AL50" s="8">
        <v>7290</v>
      </c>
      <c r="AM50" s="8"/>
      <c r="AN50" s="384">
        <v>14217</v>
      </c>
      <c r="AO50" s="8"/>
      <c r="AP50" s="384">
        <v>8957</v>
      </c>
      <c r="AQ50" s="8"/>
      <c r="AR50" s="9">
        <v>18093</v>
      </c>
      <c r="AS50" s="347">
        <v>-6440</v>
      </c>
      <c r="AT50" s="8"/>
      <c r="AU50" s="384">
        <v>-1730</v>
      </c>
    </row>
    <row r="51" spans="1:48" x14ac:dyDescent="0.35">
      <c r="A51" s="105" t="s">
        <v>238</v>
      </c>
      <c r="B51" s="105" t="s">
        <v>239</v>
      </c>
      <c r="C51" s="8" t="s">
        <v>178</v>
      </c>
      <c r="D51" s="8"/>
      <c r="E51" s="384" t="s">
        <v>178</v>
      </c>
      <c r="F51" s="8"/>
      <c r="G51" s="384" t="s">
        <v>178</v>
      </c>
      <c r="H51" s="8"/>
      <c r="I51" s="9" t="s">
        <v>178</v>
      </c>
      <c r="J51" s="8" t="s">
        <v>178</v>
      </c>
      <c r="K51" s="8"/>
      <c r="L51" s="384" t="s">
        <v>178</v>
      </c>
      <c r="M51" s="8"/>
      <c r="N51" s="384" t="s">
        <v>178</v>
      </c>
      <c r="O51" s="8"/>
      <c r="P51" s="9" t="s">
        <v>178</v>
      </c>
      <c r="Q51" s="8" t="s">
        <v>178</v>
      </c>
      <c r="R51" s="8"/>
      <c r="S51" s="384" t="s">
        <v>178</v>
      </c>
      <c r="T51" s="8"/>
      <c r="U51" s="384" t="s">
        <v>178</v>
      </c>
      <c r="V51" s="8"/>
      <c r="W51" s="9" t="s">
        <v>178</v>
      </c>
      <c r="X51" s="8" t="s">
        <v>178</v>
      </c>
      <c r="Y51" s="8"/>
      <c r="Z51" s="384" t="s">
        <v>178</v>
      </c>
      <c r="AA51" s="8"/>
      <c r="AB51" s="384" t="s">
        <v>178</v>
      </c>
      <c r="AC51" s="8"/>
      <c r="AD51" s="9" t="s">
        <v>178</v>
      </c>
      <c r="AE51" s="8" t="s">
        <v>178</v>
      </c>
      <c r="AF51" s="8"/>
      <c r="AG51" s="384" t="s">
        <v>178</v>
      </c>
      <c r="AH51" s="8"/>
      <c r="AI51" s="384" t="s">
        <v>178</v>
      </c>
      <c r="AJ51" s="8"/>
      <c r="AK51" s="9">
        <v>9275</v>
      </c>
      <c r="AL51" s="8">
        <v>-1380</v>
      </c>
      <c r="AM51" s="8"/>
      <c r="AN51" s="384">
        <v>-6353</v>
      </c>
      <c r="AO51" s="8"/>
      <c r="AP51" s="384">
        <v>-7462</v>
      </c>
      <c r="AQ51" s="8"/>
      <c r="AR51" s="9">
        <v>-12367</v>
      </c>
      <c r="AS51" s="347">
        <v>-362</v>
      </c>
      <c r="AT51" s="8"/>
      <c r="AU51" s="384">
        <v>-5735</v>
      </c>
    </row>
    <row r="52" spans="1:48" x14ac:dyDescent="0.35">
      <c r="A52" s="105" t="s">
        <v>240</v>
      </c>
      <c r="B52" s="105" t="s">
        <v>241</v>
      </c>
      <c r="C52" s="8" t="s">
        <v>178</v>
      </c>
      <c r="D52" s="8"/>
      <c r="E52" s="384" t="s">
        <v>178</v>
      </c>
      <c r="F52" s="8"/>
      <c r="G52" s="384" t="s">
        <v>178</v>
      </c>
      <c r="H52" s="8"/>
      <c r="I52" s="9" t="s">
        <v>178</v>
      </c>
      <c r="J52" s="8" t="s">
        <v>178</v>
      </c>
      <c r="K52" s="8"/>
      <c r="L52" s="384" t="s">
        <v>178</v>
      </c>
      <c r="M52" s="8"/>
      <c r="N52" s="384" t="s">
        <v>178</v>
      </c>
      <c r="O52" s="8"/>
      <c r="P52" s="9" t="s">
        <v>178</v>
      </c>
      <c r="Q52" s="8" t="s">
        <v>178</v>
      </c>
      <c r="R52" s="8"/>
      <c r="S52" s="384" t="s">
        <v>178</v>
      </c>
      <c r="T52" s="8"/>
      <c r="U52" s="384" t="s">
        <v>178</v>
      </c>
      <c r="V52" s="8"/>
      <c r="W52" s="9" t="s">
        <v>178</v>
      </c>
      <c r="X52" s="8">
        <v>-188</v>
      </c>
      <c r="Y52" s="8"/>
      <c r="Z52" s="384">
        <v>-325</v>
      </c>
      <c r="AA52" s="8"/>
      <c r="AB52" s="384">
        <v>-686</v>
      </c>
      <c r="AC52" s="8"/>
      <c r="AD52" s="9">
        <v>-1620</v>
      </c>
      <c r="AE52" s="8">
        <v>-2084</v>
      </c>
      <c r="AF52" s="8"/>
      <c r="AG52" s="384">
        <v>-4411</v>
      </c>
      <c r="AH52" s="8"/>
      <c r="AI52" s="384">
        <v>-6105</v>
      </c>
      <c r="AJ52" s="8"/>
      <c r="AK52" s="9">
        <v>-519</v>
      </c>
      <c r="AL52" s="8">
        <v>-571</v>
      </c>
      <c r="AM52" s="8"/>
      <c r="AN52" s="384">
        <v>-534</v>
      </c>
      <c r="AO52" s="8"/>
      <c r="AP52" s="384">
        <v>-770</v>
      </c>
      <c r="AQ52" s="8"/>
      <c r="AR52" s="9">
        <v>149</v>
      </c>
      <c r="AS52" s="347">
        <v>127</v>
      </c>
      <c r="AT52" s="8"/>
      <c r="AU52" s="384">
        <v>506</v>
      </c>
    </row>
    <row r="53" spans="1:48" s="31" customFormat="1" x14ac:dyDescent="0.35">
      <c r="A53" s="103" t="s">
        <v>242</v>
      </c>
      <c r="B53" s="103" t="s">
        <v>243</v>
      </c>
      <c r="C53" s="29">
        <v>442</v>
      </c>
      <c r="D53" s="29"/>
      <c r="E53" s="383">
        <v>11776</v>
      </c>
      <c r="F53" s="29"/>
      <c r="G53" s="383">
        <v>7347</v>
      </c>
      <c r="H53" s="29"/>
      <c r="I53" s="149">
        <v>4514</v>
      </c>
      <c r="J53" s="29">
        <v>3989</v>
      </c>
      <c r="K53" s="29"/>
      <c r="L53" s="383">
        <v>4748</v>
      </c>
      <c r="M53" s="29"/>
      <c r="N53" s="383">
        <v>12652</v>
      </c>
      <c r="O53" s="29"/>
      <c r="P53" s="149">
        <v>8281</v>
      </c>
      <c r="Q53" s="29">
        <v>1417</v>
      </c>
      <c r="R53" s="29"/>
      <c r="S53" s="383">
        <v>3109</v>
      </c>
      <c r="T53" s="29"/>
      <c r="U53" s="383">
        <v>-138</v>
      </c>
      <c r="V53" s="29"/>
      <c r="W53" s="149">
        <v>-694</v>
      </c>
      <c r="X53" s="29">
        <v>2036</v>
      </c>
      <c r="Y53" s="29"/>
      <c r="Z53" s="383">
        <v>-1676</v>
      </c>
      <c r="AA53" s="29"/>
      <c r="AB53" s="383">
        <v>3228</v>
      </c>
      <c r="AC53" s="29"/>
      <c r="AD53" s="149">
        <v>6930</v>
      </c>
      <c r="AE53" s="29">
        <v>-6238</v>
      </c>
      <c r="AF53" s="29"/>
      <c r="AG53" s="383">
        <v>24734</v>
      </c>
      <c r="AH53" s="29"/>
      <c r="AI53" s="383">
        <v>29234</v>
      </c>
      <c r="AJ53" s="29"/>
      <c r="AK53" s="149">
        <v>19655</v>
      </c>
      <c r="AL53" s="29">
        <v>1406</v>
      </c>
      <c r="AM53" s="29"/>
      <c r="AN53" s="383">
        <v>2664</v>
      </c>
      <c r="AO53" s="29"/>
      <c r="AP53" s="383">
        <v>-1225</v>
      </c>
      <c r="AQ53" s="29"/>
      <c r="AR53" s="149">
        <v>7160</v>
      </c>
      <c r="AS53" s="381">
        <f>SUM(AS48:AS52)</f>
        <v>-6016</v>
      </c>
      <c r="AT53" s="29"/>
      <c r="AU53" s="383">
        <v>-9591</v>
      </c>
    </row>
    <row r="54" spans="1:48" s="31" customFormat="1" x14ac:dyDescent="0.35">
      <c r="A54" s="103" t="s">
        <v>244</v>
      </c>
      <c r="B54" s="92" t="s">
        <v>245</v>
      </c>
      <c r="C54" s="29">
        <v>-1050</v>
      </c>
      <c r="D54" s="29"/>
      <c r="E54" s="383">
        <v>8145</v>
      </c>
      <c r="F54" s="29"/>
      <c r="G54" s="383">
        <v>2548</v>
      </c>
      <c r="H54" s="29"/>
      <c r="I54" s="149">
        <v>-993</v>
      </c>
      <c r="J54" s="29">
        <v>5648</v>
      </c>
      <c r="K54" s="29"/>
      <c r="L54" s="383">
        <v>6925</v>
      </c>
      <c r="M54" s="29"/>
      <c r="N54" s="383">
        <v>16056</v>
      </c>
      <c r="O54" s="29"/>
      <c r="P54" s="149">
        <v>11451</v>
      </c>
      <c r="Q54" s="29">
        <v>644</v>
      </c>
      <c r="R54" s="29"/>
      <c r="S54" s="383">
        <v>2015</v>
      </c>
      <c r="T54" s="29"/>
      <c r="U54" s="383">
        <v>-1901</v>
      </c>
      <c r="V54" s="29"/>
      <c r="W54" s="149">
        <v>-3478</v>
      </c>
      <c r="X54" s="29">
        <v>1821</v>
      </c>
      <c r="Y54" s="29"/>
      <c r="Z54" s="383">
        <v>-600</v>
      </c>
      <c r="AA54" s="29"/>
      <c r="AB54" s="383">
        <v>5545</v>
      </c>
      <c r="AC54" s="29"/>
      <c r="AD54" s="149">
        <v>9715</v>
      </c>
      <c r="AE54" s="29">
        <v>-7560</v>
      </c>
      <c r="AF54" s="29"/>
      <c r="AG54" s="383">
        <v>21774</v>
      </c>
      <c r="AH54" s="29"/>
      <c r="AI54" s="383">
        <v>27267</v>
      </c>
      <c r="AJ54" s="29"/>
      <c r="AK54" s="149">
        <v>21995</v>
      </c>
      <c r="AL54" s="29">
        <v>-1058</v>
      </c>
      <c r="AM54" s="29"/>
      <c r="AN54" s="383">
        <v>-91</v>
      </c>
      <c r="AO54" s="29"/>
      <c r="AP54" s="383">
        <v>-402</v>
      </c>
      <c r="AQ54" s="29"/>
      <c r="AR54" s="149">
        <v>8692</v>
      </c>
      <c r="AS54" s="381">
        <v>-6963</v>
      </c>
      <c r="AT54" s="29"/>
      <c r="AU54" s="383">
        <v>-7678</v>
      </c>
    </row>
    <row r="55" spans="1:48" s="31" customFormat="1" x14ac:dyDescent="0.35">
      <c r="A55" s="103" t="s">
        <v>246</v>
      </c>
      <c r="B55" s="92" t="s">
        <v>247</v>
      </c>
      <c r="C55" s="29">
        <v>13180</v>
      </c>
      <c r="D55" s="29"/>
      <c r="E55" s="383">
        <v>47079</v>
      </c>
      <c r="F55" s="29"/>
      <c r="G55" s="383">
        <v>50559</v>
      </c>
      <c r="H55" s="29"/>
      <c r="I55" s="149">
        <v>35200</v>
      </c>
      <c r="J55" s="29">
        <v>27280</v>
      </c>
      <c r="K55" s="29"/>
      <c r="L55" s="383">
        <v>46494</v>
      </c>
      <c r="M55" s="29"/>
      <c r="N55" s="383">
        <v>78103</v>
      </c>
      <c r="O55" s="29"/>
      <c r="P55" s="149">
        <v>59881</v>
      </c>
      <c r="Q55" s="29">
        <v>29754</v>
      </c>
      <c r="R55" s="29"/>
      <c r="S55" s="383">
        <v>63311</v>
      </c>
      <c r="T55" s="29"/>
      <c r="U55" s="383">
        <v>82403</v>
      </c>
      <c r="V55" s="29"/>
      <c r="W55" s="149">
        <v>102574</v>
      </c>
      <c r="X55" s="29">
        <v>28773</v>
      </c>
      <c r="Y55" s="29"/>
      <c r="Z55" s="383">
        <v>55034</v>
      </c>
      <c r="AA55" s="29"/>
      <c r="AB55" s="383">
        <v>99666</v>
      </c>
      <c r="AC55" s="29"/>
      <c r="AD55" s="149">
        <v>150895</v>
      </c>
      <c r="AE55" s="29">
        <v>30346</v>
      </c>
      <c r="AF55" s="29"/>
      <c r="AG55" s="383">
        <v>136863</v>
      </c>
      <c r="AH55" s="29"/>
      <c r="AI55" s="383">
        <v>224524</v>
      </c>
      <c r="AJ55" s="29"/>
      <c r="AK55" s="149">
        <v>192745</v>
      </c>
      <c r="AL55" s="29">
        <v>37978</v>
      </c>
      <c r="AM55" s="29"/>
      <c r="AN55" s="383">
        <v>68954</v>
      </c>
      <c r="AO55" s="29"/>
      <c r="AP55" s="383">
        <v>123347</v>
      </c>
      <c r="AQ55" s="29"/>
      <c r="AR55" s="149">
        <v>169343</v>
      </c>
      <c r="AS55" s="381">
        <v>61574</v>
      </c>
      <c r="AT55" s="29"/>
      <c r="AU55" s="383">
        <f>AU44+AU54</f>
        <v>131129</v>
      </c>
    </row>
    <row r="56" spans="1:48" x14ac:dyDescent="0.35">
      <c r="A56" s="102" t="s">
        <v>248</v>
      </c>
      <c r="B56" s="95" t="s">
        <v>200</v>
      </c>
      <c r="C56" s="8"/>
      <c r="D56" s="8"/>
      <c r="E56" s="384"/>
      <c r="F56" s="8"/>
      <c r="G56" s="384"/>
      <c r="H56" s="8"/>
      <c r="I56" s="9"/>
      <c r="J56" s="8"/>
      <c r="K56" s="8"/>
      <c r="L56" s="384"/>
      <c r="M56" s="8"/>
      <c r="N56" s="384"/>
      <c r="O56" s="8"/>
      <c r="P56" s="9"/>
      <c r="Q56" s="8"/>
      <c r="R56" s="8"/>
      <c r="S56" s="384"/>
      <c r="T56" s="8"/>
      <c r="U56" s="384"/>
      <c r="V56" s="8"/>
      <c r="W56" s="9"/>
      <c r="X56" s="8"/>
      <c r="Y56" s="8"/>
      <c r="Z56" s="384"/>
      <c r="AA56" s="8"/>
      <c r="AB56" s="384"/>
      <c r="AC56" s="8"/>
      <c r="AD56" s="9"/>
      <c r="AE56" s="8"/>
      <c r="AF56" s="8"/>
      <c r="AG56" s="384"/>
      <c r="AH56" s="8"/>
      <c r="AI56" s="384"/>
      <c r="AJ56" s="8"/>
      <c r="AK56" s="9"/>
      <c r="AL56" s="8"/>
      <c r="AM56" s="8"/>
      <c r="AN56" s="384"/>
      <c r="AO56" s="8"/>
      <c r="AP56" s="384"/>
      <c r="AQ56" s="8"/>
      <c r="AR56" s="9"/>
      <c r="AS56" s="347"/>
      <c r="AT56" s="8"/>
      <c r="AU56" s="384"/>
    </row>
    <row r="57" spans="1:48" s="31" customFormat="1" x14ac:dyDescent="0.35">
      <c r="A57" s="107" t="s">
        <v>201</v>
      </c>
      <c r="B57" s="108" t="s">
        <v>249</v>
      </c>
      <c r="C57" s="29">
        <v>13483</v>
      </c>
      <c r="D57" s="29"/>
      <c r="E57" s="383">
        <v>46635</v>
      </c>
      <c r="F57" s="29"/>
      <c r="G57" s="383">
        <v>49987</v>
      </c>
      <c r="H57" s="29"/>
      <c r="I57" s="149">
        <v>34168</v>
      </c>
      <c r="J57" s="29">
        <v>27578</v>
      </c>
      <c r="K57" s="29"/>
      <c r="L57" s="383">
        <v>46381</v>
      </c>
      <c r="M57" s="29"/>
      <c r="N57" s="383">
        <v>77419</v>
      </c>
      <c r="O57" s="29"/>
      <c r="P57" s="149">
        <v>58336</v>
      </c>
      <c r="Q57" s="29">
        <v>29038</v>
      </c>
      <c r="R57" s="29"/>
      <c r="S57" s="383">
        <v>62012</v>
      </c>
      <c r="T57" s="29"/>
      <c r="U57" s="383">
        <v>80592</v>
      </c>
      <c r="V57" s="29"/>
      <c r="W57" s="149">
        <v>100725</v>
      </c>
      <c r="X57" s="29">
        <v>28648</v>
      </c>
      <c r="Y57" s="29"/>
      <c r="Z57" s="383">
        <v>54539</v>
      </c>
      <c r="AA57" s="29"/>
      <c r="AB57" s="383">
        <v>98645</v>
      </c>
      <c r="AC57" s="29"/>
      <c r="AD57" s="149">
        <v>149092</v>
      </c>
      <c r="AE57" s="29">
        <v>29443</v>
      </c>
      <c r="AF57" s="29"/>
      <c r="AG57" s="383">
        <v>134422</v>
      </c>
      <c r="AH57" s="29"/>
      <c r="AI57" s="383">
        <v>221555</v>
      </c>
      <c r="AJ57" s="29"/>
      <c r="AK57" s="149">
        <v>190223</v>
      </c>
      <c r="AL57" s="29">
        <v>38714</v>
      </c>
      <c r="AM57" s="29"/>
      <c r="AN57" s="383">
        <v>68633</v>
      </c>
      <c r="AO57" s="29"/>
      <c r="AP57" s="383">
        <v>122197</v>
      </c>
      <c r="AQ57" s="29"/>
      <c r="AR57" s="149">
        <v>167944</v>
      </c>
      <c r="AS57" s="381">
        <v>60735</v>
      </c>
      <c r="AT57" s="29"/>
      <c r="AU57" s="383">
        <v>130291</v>
      </c>
    </row>
    <row r="58" spans="1:48" x14ac:dyDescent="0.35">
      <c r="A58" s="105" t="s">
        <v>203</v>
      </c>
      <c r="B58" s="106" t="s">
        <v>250</v>
      </c>
      <c r="C58" s="8">
        <v>-303</v>
      </c>
      <c r="D58" s="8"/>
      <c r="E58" s="384">
        <v>444</v>
      </c>
      <c r="F58" s="8"/>
      <c r="G58" s="384">
        <v>572</v>
      </c>
      <c r="H58" s="8"/>
      <c r="I58" s="9">
        <v>1032</v>
      </c>
      <c r="J58" s="8">
        <v>-298</v>
      </c>
      <c r="K58" s="8"/>
      <c r="L58" s="384">
        <v>113</v>
      </c>
      <c r="M58" s="8"/>
      <c r="N58" s="384">
        <v>684</v>
      </c>
      <c r="O58" s="8"/>
      <c r="P58" s="9">
        <v>1545</v>
      </c>
      <c r="Q58" s="8">
        <v>716</v>
      </c>
      <c r="R58" s="8"/>
      <c r="S58" s="384">
        <v>1299</v>
      </c>
      <c r="T58" s="8"/>
      <c r="U58" s="384">
        <v>1811</v>
      </c>
      <c r="V58" s="8"/>
      <c r="W58" s="9">
        <v>1849</v>
      </c>
      <c r="X58" s="8">
        <v>125</v>
      </c>
      <c r="Y58" s="8"/>
      <c r="Z58" s="384">
        <v>495</v>
      </c>
      <c r="AA58" s="8"/>
      <c r="AB58" s="384">
        <v>1021</v>
      </c>
      <c r="AC58" s="8"/>
      <c r="AD58" s="9">
        <v>1803</v>
      </c>
      <c r="AE58" s="8">
        <v>903</v>
      </c>
      <c r="AF58" s="8"/>
      <c r="AG58" s="384">
        <v>2441</v>
      </c>
      <c r="AH58" s="8"/>
      <c r="AI58" s="384">
        <v>2969</v>
      </c>
      <c r="AJ58" s="8"/>
      <c r="AK58" s="9">
        <v>2522</v>
      </c>
      <c r="AL58" s="8">
        <v>-736</v>
      </c>
      <c r="AM58" s="8"/>
      <c r="AN58" s="384">
        <v>321</v>
      </c>
      <c r="AO58" s="8"/>
      <c r="AP58" s="384">
        <v>1150</v>
      </c>
      <c r="AQ58" s="8"/>
      <c r="AR58" s="9">
        <v>1399</v>
      </c>
      <c r="AS58" s="347">
        <v>839</v>
      </c>
      <c r="AT58" s="8"/>
      <c r="AU58" s="384">
        <v>838</v>
      </c>
    </row>
    <row r="59" spans="1:48" x14ac:dyDescent="0.35">
      <c r="A59" s="102"/>
      <c r="R59" s="18"/>
      <c r="X59" s="18"/>
      <c r="Y59" s="8"/>
      <c r="Z59" s="8"/>
      <c r="AA59" s="29"/>
      <c r="AB59" s="29"/>
      <c r="AE59" s="18"/>
      <c r="AF59" s="8"/>
      <c r="AG59" s="8"/>
      <c r="AH59" s="8"/>
      <c r="AI59" s="8"/>
      <c r="AJ59" s="8"/>
    </row>
    <row r="60" spans="1:48" x14ac:dyDescent="0.35">
      <c r="B60" s="95"/>
    </row>
    <row r="64" spans="1:48" x14ac:dyDescent="0.35">
      <c r="B64" s="95"/>
    </row>
    <row r="65" spans="2:2" x14ac:dyDescent="0.35">
      <c r="B65" s="95"/>
    </row>
    <row r="66" spans="2:2" x14ac:dyDescent="0.35">
      <c r="B66" s="95"/>
    </row>
    <row r="67" spans="2:2" x14ac:dyDescent="0.35">
      <c r="B67" s="95"/>
    </row>
    <row r="68" spans="2:2" x14ac:dyDescent="0.35">
      <c r="B68" s="95"/>
    </row>
    <row r="69" spans="2:2" x14ac:dyDescent="0.35">
      <c r="B69" s="95"/>
    </row>
  </sheetData>
  <mergeCells count="4">
    <mergeCell ref="B2:B3"/>
    <mergeCell ref="B42:B43"/>
    <mergeCell ref="A2:A3"/>
    <mergeCell ref="A42:A43"/>
  </mergeCells>
  <pageMargins left="0.70866141732283472" right="0.70866141732283472" top="0" bottom="0" header="0.31496062992125984" footer="0.31496062992125984"/>
  <pageSetup paperSize="9" orientation="landscape" r:id="rId1"/>
  <customProperties>
    <customPr name="EpmWorksheetKeyString_GUID" r:id="rId2"/>
  </customProperties>
  <ignoredErrors>
    <ignoredError sqref="E7:AM7 E15:AM15 AO7 AO15:AP15"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3F0A-A6CE-43E3-948E-8B2152F8455A}">
  <sheetPr>
    <tabColor rgb="FF0070C0"/>
  </sheetPr>
  <dimension ref="A1:AV50"/>
  <sheetViews>
    <sheetView zoomScale="68" zoomScaleNormal="68" workbookViewId="0">
      <pane xSplit="2" topLeftCell="AL1" activePane="topRight" state="frozen"/>
      <selection activeCell="AS1" sqref="AS1"/>
      <selection pane="topRight" activeCell="BD20" sqref="BD20"/>
    </sheetView>
  </sheetViews>
  <sheetFormatPr defaultRowHeight="14.5" outlineLevelCol="1" x14ac:dyDescent="0.35"/>
  <cols>
    <col min="1" max="1" width="44.81640625" customWidth="1"/>
    <col min="2" max="2" width="47.81640625" customWidth="1"/>
    <col min="3" max="3" width="16.1796875" hidden="1" customWidth="1" outlineLevel="1"/>
    <col min="4" max="8" width="13.453125" hidden="1" customWidth="1" outlineLevel="1"/>
    <col min="9" max="9" width="13.453125" customWidth="1" collapsed="1"/>
    <col min="10" max="15" width="13.453125" hidden="1" customWidth="1" outlineLevel="1"/>
    <col min="16" max="16" width="13.453125" customWidth="1" collapsed="1"/>
    <col min="17" max="22" width="13.453125" hidden="1" customWidth="1" outlineLevel="1"/>
    <col min="23" max="23" width="13.453125" customWidth="1" collapsed="1"/>
    <col min="24" max="29" width="13.453125" hidden="1" customWidth="1" outlineLevel="1"/>
    <col min="30" max="30" width="13.453125" customWidth="1" collapsed="1"/>
    <col min="31" max="35" width="13.453125" hidden="1" customWidth="1" outlineLevel="1"/>
    <col min="36" max="36" width="14" hidden="1" customWidth="1" outlineLevel="1"/>
    <col min="37" max="37" width="14" customWidth="1" collapsed="1"/>
    <col min="38" max="38" width="14" bestFit="1" customWidth="1" outlineLevel="1"/>
    <col min="39" max="39" width="14" customWidth="1" outlineLevel="1"/>
    <col min="40" max="41" width="15.453125" customWidth="1" outlineLevel="1"/>
    <col min="42" max="42" width="14" customWidth="1" outlineLevel="1"/>
    <col min="43" max="43" width="13.453125" customWidth="1" outlineLevel="1"/>
    <col min="44" max="45" width="13.453125" bestFit="1" customWidth="1"/>
    <col min="46" max="46" width="14" customWidth="1" outlineLevel="1"/>
    <col min="47" max="47" width="15.453125" customWidth="1" outlineLevel="1"/>
    <col min="48" max="48" width="13.453125" bestFit="1" customWidth="1"/>
    <col min="49" max="49" width="13.453125" customWidth="1"/>
    <col min="50" max="50" width="13.453125" bestFit="1" customWidth="1"/>
    <col min="51" max="51" width="11.81640625" bestFit="1" customWidth="1"/>
  </cols>
  <sheetData>
    <row r="1" spans="1:48" ht="30" customHeight="1" thickBot="1" x14ac:dyDescent="0.4">
      <c r="A1" s="39"/>
      <c r="B1" s="39"/>
      <c r="G1" s="244"/>
      <c r="R1" s="244"/>
      <c r="AK1" s="244"/>
      <c r="AL1" s="39"/>
      <c r="AM1" s="39"/>
      <c r="AP1" s="39"/>
      <c r="AT1" s="431"/>
      <c r="AU1" s="353"/>
    </row>
    <row r="2" spans="1:48" ht="15" thickBot="1" x14ac:dyDescent="0.4">
      <c r="A2" s="479" t="s">
        <v>143</v>
      </c>
      <c r="B2" s="479" t="s">
        <v>144</v>
      </c>
      <c r="C2" s="1" t="s">
        <v>37</v>
      </c>
      <c r="D2" s="1" t="s">
        <v>38</v>
      </c>
      <c r="E2" s="1" t="s">
        <v>145</v>
      </c>
      <c r="F2" s="1" t="s">
        <v>39</v>
      </c>
      <c r="G2" s="1" t="s">
        <v>146</v>
      </c>
      <c r="H2" s="1" t="s">
        <v>40</v>
      </c>
      <c r="I2" s="1">
        <v>2018</v>
      </c>
      <c r="J2" s="1" t="s">
        <v>41</v>
      </c>
      <c r="K2" s="1" t="s">
        <v>42</v>
      </c>
      <c r="L2" s="1" t="s">
        <v>147</v>
      </c>
      <c r="M2" s="1" t="s">
        <v>43</v>
      </c>
      <c r="N2" s="1" t="s">
        <v>148</v>
      </c>
      <c r="O2" s="1" t="s">
        <v>44</v>
      </c>
      <c r="P2" s="1" t="s">
        <v>149</v>
      </c>
      <c r="Q2" s="1" t="s">
        <v>150</v>
      </c>
      <c r="R2" s="1" t="s">
        <v>46</v>
      </c>
      <c r="S2" s="1" t="s">
        <v>151</v>
      </c>
      <c r="T2" s="1" t="s">
        <v>47</v>
      </c>
      <c r="U2" s="1" t="s">
        <v>152</v>
      </c>
      <c r="V2" s="1" t="s">
        <v>48</v>
      </c>
      <c r="W2" s="1">
        <v>2020</v>
      </c>
      <c r="X2" s="1" t="s">
        <v>49</v>
      </c>
      <c r="Y2" s="1" t="s">
        <v>50</v>
      </c>
      <c r="Z2" s="1" t="s">
        <v>153</v>
      </c>
      <c r="AA2" s="1" t="s">
        <v>51</v>
      </c>
      <c r="AB2" s="1" t="s">
        <v>154</v>
      </c>
      <c r="AC2" s="1" t="s">
        <v>52</v>
      </c>
      <c r="AD2" s="1">
        <v>2021</v>
      </c>
      <c r="AE2" s="1" t="s">
        <v>53</v>
      </c>
      <c r="AF2" s="1" t="s">
        <v>54</v>
      </c>
      <c r="AG2" s="1" t="s">
        <v>155</v>
      </c>
      <c r="AH2" s="1" t="s">
        <v>55</v>
      </c>
      <c r="AI2" s="1" t="s">
        <v>156</v>
      </c>
      <c r="AJ2" s="1" t="s">
        <v>157</v>
      </c>
      <c r="AK2" s="1" t="s">
        <v>158</v>
      </c>
      <c r="AL2" s="1" t="s">
        <v>57</v>
      </c>
      <c r="AM2" s="1" t="s">
        <v>58</v>
      </c>
      <c r="AN2" s="1" t="s">
        <v>159</v>
      </c>
      <c r="AO2" s="1" t="s">
        <v>59</v>
      </c>
      <c r="AP2" s="1" t="s">
        <v>160</v>
      </c>
      <c r="AQ2" s="1" t="s">
        <v>60</v>
      </c>
      <c r="AR2" s="1">
        <v>2023</v>
      </c>
      <c r="AS2" s="1" t="s">
        <v>61</v>
      </c>
      <c r="AT2" s="1" t="s">
        <v>1166</v>
      </c>
      <c r="AU2" s="1" t="s">
        <v>1167</v>
      </c>
    </row>
    <row r="3" spans="1:48" ht="15" thickTop="1" x14ac:dyDescent="0.35">
      <c r="A3" s="480"/>
      <c r="B3" s="480"/>
      <c r="C3" s="2" t="s">
        <v>251</v>
      </c>
      <c r="D3" s="2" t="s">
        <v>251</v>
      </c>
      <c r="E3" s="2" t="s">
        <v>251</v>
      </c>
      <c r="F3" s="2" t="s">
        <v>251</v>
      </c>
      <c r="G3" s="2" t="s">
        <v>251</v>
      </c>
      <c r="H3" s="2" t="s">
        <v>251</v>
      </c>
      <c r="I3" s="2" t="s">
        <v>251</v>
      </c>
      <c r="J3" s="2" t="s">
        <v>251</v>
      </c>
      <c r="K3" s="2" t="s">
        <v>251</v>
      </c>
      <c r="L3" s="2" t="s">
        <v>251</v>
      </c>
      <c r="M3" s="2" t="s">
        <v>251</v>
      </c>
      <c r="N3" s="2" t="s">
        <v>251</v>
      </c>
      <c r="O3" s="2" t="s">
        <v>251</v>
      </c>
      <c r="P3" s="2" t="s">
        <v>251</v>
      </c>
      <c r="Q3" s="2" t="s">
        <v>251</v>
      </c>
      <c r="R3" s="2" t="s">
        <v>251</v>
      </c>
      <c r="S3" s="2" t="s">
        <v>251</v>
      </c>
      <c r="T3" s="2" t="s">
        <v>251</v>
      </c>
      <c r="U3" s="2" t="s">
        <v>251</v>
      </c>
      <c r="V3" s="2" t="s">
        <v>251</v>
      </c>
      <c r="W3" s="2" t="s">
        <v>251</v>
      </c>
      <c r="X3" s="2" t="s">
        <v>251</v>
      </c>
      <c r="Y3" s="2" t="s">
        <v>251</v>
      </c>
      <c r="Z3" s="2" t="s">
        <v>251</v>
      </c>
      <c r="AA3" s="2" t="s">
        <v>251</v>
      </c>
      <c r="AB3" s="2" t="s">
        <v>251</v>
      </c>
      <c r="AC3" s="2" t="s">
        <v>251</v>
      </c>
      <c r="AD3" s="2" t="s">
        <v>251</v>
      </c>
      <c r="AE3" s="2" t="s">
        <v>251</v>
      </c>
      <c r="AF3" s="2" t="s">
        <v>251</v>
      </c>
      <c r="AG3" s="2" t="s">
        <v>251</v>
      </c>
      <c r="AH3" s="2" t="s">
        <v>251</v>
      </c>
      <c r="AI3" s="2" t="s">
        <v>251</v>
      </c>
      <c r="AJ3" s="2" t="s">
        <v>251</v>
      </c>
      <c r="AK3" s="2" t="s">
        <v>251</v>
      </c>
      <c r="AL3" s="2" t="s">
        <v>251</v>
      </c>
      <c r="AM3" s="2" t="s">
        <v>251</v>
      </c>
      <c r="AN3" s="2" t="s">
        <v>251</v>
      </c>
      <c r="AO3" s="2" t="s">
        <v>251</v>
      </c>
      <c r="AP3" s="2" t="s">
        <v>251</v>
      </c>
      <c r="AQ3" s="2" t="s">
        <v>251</v>
      </c>
      <c r="AR3" s="2" t="s">
        <v>251</v>
      </c>
      <c r="AS3" s="2" t="s">
        <v>251</v>
      </c>
      <c r="AT3" s="2" t="s">
        <v>251</v>
      </c>
      <c r="AU3" s="2" t="s">
        <v>251</v>
      </c>
    </row>
    <row r="4" spans="1:48" x14ac:dyDescent="0.35">
      <c r="A4" s="103" t="s">
        <v>63</v>
      </c>
      <c r="B4" s="103" t="s">
        <v>64</v>
      </c>
      <c r="C4" s="152">
        <v>366.3</v>
      </c>
      <c r="D4" s="152">
        <v>347.6</v>
      </c>
      <c r="E4" s="182">
        <f>SUM($C4:$D4)</f>
        <v>713.90000000000009</v>
      </c>
      <c r="F4" s="152">
        <v>307</v>
      </c>
      <c r="G4" s="182">
        <f>SUM($E4:$F4)</f>
        <v>1020.9000000000001</v>
      </c>
      <c r="H4" s="152">
        <v>377.3</v>
      </c>
      <c r="I4" s="154">
        <v>1398.2</v>
      </c>
      <c r="J4" s="152">
        <v>383</v>
      </c>
      <c r="K4" s="152">
        <v>370.9</v>
      </c>
      <c r="L4" s="182">
        <f>SUM($J4:$K4)</f>
        <v>753.9</v>
      </c>
      <c r="M4" s="152">
        <v>388.9</v>
      </c>
      <c r="N4" s="182">
        <f>SUM($L4:$M4)</f>
        <v>1142.8</v>
      </c>
      <c r="O4" s="152">
        <v>417.9</v>
      </c>
      <c r="P4" s="154">
        <v>1560.7</v>
      </c>
      <c r="Q4" s="152">
        <v>415.8</v>
      </c>
      <c r="R4" s="152">
        <v>390.4</v>
      </c>
      <c r="S4" s="182">
        <f>SUM($Q4:$R4)</f>
        <v>806.2</v>
      </c>
      <c r="T4" s="152">
        <v>390</v>
      </c>
      <c r="U4" s="182">
        <f>SUM($S4:$T4)</f>
        <v>1196.2</v>
      </c>
      <c r="V4" s="152">
        <v>418.6</v>
      </c>
      <c r="W4" s="154">
        <v>1614.8</v>
      </c>
      <c r="X4" s="152">
        <v>389</v>
      </c>
      <c r="Y4" s="152">
        <v>440.7</v>
      </c>
      <c r="Z4" s="182">
        <f>SUM($X4:$Y4)</f>
        <v>829.7</v>
      </c>
      <c r="AA4" s="152">
        <v>445.6</v>
      </c>
      <c r="AB4" s="182">
        <f>SUM($Z4:$AA4)</f>
        <v>1275.3000000000002</v>
      </c>
      <c r="AC4" s="152">
        <v>483.2</v>
      </c>
      <c r="AD4" s="154">
        <v>1758.5</v>
      </c>
      <c r="AE4" s="152">
        <v>458.1</v>
      </c>
      <c r="AF4" s="152">
        <v>496.2</v>
      </c>
      <c r="AG4" s="182">
        <f>SUM($AE4:$AF4)</f>
        <v>954.3</v>
      </c>
      <c r="AH4" s="152">
        <v>539.79999999999995</v>
      </c>
      <c r="AI4" s="182">
        <f>SUM($AG4:$AH4)</f>
        <v>1494.1</v>
      </c>
      <c r="AJ4" s="152">
        <v>545</v>
      </c>
      <c r="AK4" s="154">
        <v>2039.1</v>
      </c>
      <c r="AL4" s="152">
        <v>539.5</v>
      </c>
      <c r="AM4" s="152">
        <v>545.6</v>
      </c>
      <c r="AN4" s="182">
        <f>SUM($AL4:$AM4)</f>
        <v>1085.0999999999999</v>
      </c>
      <c r="AO4" s="152">
        <v>491.3</v>
      </c>
      <c r="AP4" s="182">
        <f>SUM($AN4:$AO4)</f>
        <v>1576.3999999999999</v>
      </c>
      <c r="AQ4" s="152">
        <v>531.5</v>
      </c>
      <c r="AR4" s="154">
        <v>2107.9</v>
      </c>
      <c r="AS4" s="363">
        <v>523.5</v>
      </c>
      <c r="AT4" s="152">
        <f>AU4-AS4</f>
        <v>552.59999999999991</v>
      </c>
      <c r="AU4" s="182">
        <v>1076.0999999999999</v>
      </c>
    </row>
    <row r="5" spans="1:48" s="160" customFormat="1" x14ac:dyDescent="0.35">
      <c r="A5" s="336" t="s">
        <v>161</v>
      </c>
      <c r="B5" s="336" t="s">
        <v>162</v>
      </c>
      <c r="C5" s="279">
        <v>12.9</v>
      </c>
      <c r="D5" s="279">
        <v>19</v>
      </c>
      <c r="E5" s="280">
        <v>31.9</v>
      </c>
      <c r="F5" s="279">
        <v>22.7</v>
      </c>
      <c r="G5" s="280">
        <v>54.6</v>
      </c>
      <c r="H5" s="279">
        <v>24.3</v>
      </c>
      <c r="I5" s="281">
        <v>78.900000000000006</v>
      </c>
      <c r="J5" s="279">
        <v>47.6</v>
      </c>
      <c r="K5" s="279">
        <v>28.7</v>
      </c>
      <c r="L5" s="280">
        <v>76.3</v>
      </c>
      <c r="M5" s="279">
        <v>39.9</v>
      </c>
      <c r="N5" s="280">
        <v>116.2</v>
      </c>
      <c r="O5" s="279">
        <v>54.8</v>
      </c>
      <c r="P5" s="281">
        <v>171</v>
      </c>
      <c r="Q5" s="279">
        <v>46.5</v>
      </c>
      <c r="R5" s="279">
        <v>82.2</v>
      </c>
      <c r="S5" s="280">
        <v>128.69999999999999</v>
      </c>
      <c r="T5" s="279">
        <v>62</v>
      </c>
      <c r="U5" s="280">
        <v>190.7</v>
      </c>
      <c r="V5" s="279">
        <v>64.400000000000006</v>
      </c>
      <c r="W5" s="281">
        <v>255.1</v>
      </c>
      <c r="X5" s="279">
        <v>68.900000000000006</v>
      </c>
      <c r="Y5" s="279">
        <v>74.099999999999994</v>
      </c>
      <c r="Z5" s="280">
        <v>143</v>
      </c>
      <c r="AA5" s="279">
        <v>91.1</v>
      </c>
      <c r="AB5" s="280">
        <v>234.1</v>
      </c>
      <c r="AC5" s="279">
        <v>95.8</v>
      </c>
      <c r="AD5" s="281">
        <v>329.9</v>
      </c>
      <c r="AE5" s="279">
        <v>85.5</v>
      </c>
      <c r="AF5" s="279">
        <v>85.5</v>
      </c>
      <c r="AG5" s="280">
        <v>171</v>
      </c>
      <c r="AH5" s="279">
        <v>109.4</v>
      </c>
      <c r="AI5" s="280">
        <v>280.39999999999998</v>
      </c>
      <c r="AJ5" s="279">
        <v>99.9</v>
      </c>
      <c r="AK5" s="281">
        <v>380.3</v>
      </c>
      <c r="AL5" s="279">
        <v>107.9</v>
      </c>
      <c r="AM5" s="279">
        <v>118.9</v>
      </c>
      <c r="AN5" s="280">
        <v>226.8</v>
      </c>
      <c r="AO5" s="279">
        <v>139</v>
      </c>
      <c r="AP5" s="280">
        <v>365.8</v>
      </c>
      <c r="AQ5" s="279">
        <v>156</v>
      </c>
      <c r="AR5" s="281">
        <v>521.79999999999995</v>
      </c>
      <c r="AS5" s="364">
        <v>130.19999999999999</v>
      </c>
      <c r="AT5" s="279">
        <f>AU5-AS5</f>
        <v>138.5</v>
      </c>
      <c r="AU5" s="280">
        <v>268.7</v>
      </c>
    </row>
    <row r="6" spans="1:48" x14ac:dyDescent="0.35">
      <c r="A6" s="110" t="s">
        <v>163</v>
      </c>
      <c r="B6" s="110" t="s">
        <v>164</v>
      </c>
      <c r="C6" s="152">
        <v>-155.5</v>
      </c>
      <c r="D6" s="152">
        <v>-143.80000000000001</v>
      </c>
      <c r="E6" s="182">
        <f t="shared" ref="E6:E26" si="0">SUM($C6:$D6)</f>
        <v>-299.3</v>
      </c>
      <c r="F6" s="152">
        <v>-125.1</v>
      </c>
      <c r="G6" s="182">
        <f t="shared" ref="G6:G26" si="1">SUM($E6:$F6)</f>
        <v>-424.4</v>
      </c>
      <c r="H6" s="152">
        <v>-177.1</v>
      </c>
      <c r="I6" s="154">
        <v>-601.5</v>
      </c>
      <c r="J6" s="152">
        <v>-162.69999999999999</v>
      </c>
      <c r="K6" s="152">
        <v>-162</v>
      </c>
      <c r="L6" s="182">
        <f t="shared" ref="L6:L26" si="2">SUM($J6:$K6)</f>
        <v>-324.7</v>
      </c>
      <c r="M6" s="152">
        <v>-176.1</v>
      </c>
      <c r="N6" s="182">
        <f t="shared" ref="N6:N26" si="3">SUM($L6:$M6)</f>
        <v>-500.79999999999995</v>
      </c>
      <c r="O6" s="152">
        <v>-206.1</v>
      </c>
      <c r="P6" s="154">
        <v>-706.9</v>
      </c>
      <c r="Q6" s="152">
        <v>-179.7</v>
      </c>
      <c r="R6" s="152">
        <v>-164.8</v>
      </c>
      <c r="S6" s="182">
        <f t="shared" ref="S6:S26" si="4">SUM($Q6:$R6)</f>
        <v>-344.5</v>
      </c>
      <c r="T6" s="152">
        <v>-172.5</v>
      </c>
      <c r="U6" s="182">
        <f t="shared" ref="U6:U26" si="5">SUM($S6:$T6)</f>
        <v>-517</v>
      </c>
      <c r="V6" s="152">
        <v>-189.6</v>
      </c>
      <c r="W6" s="154">
        <v>-706.6</v>
      </c>
      <c r="X6" s="152">
        <v>-173.1</v>
      </c>
      <c r="Y6" s="152">
        <v>-191.3</v>
      </c>
      <c r="Z6" s="182">
        <f t="shared" ref="Z6:Z26" si="6">SUM($X6:$Y6)</f>
        <v>-364.4</v>
      </c>
      <c r="AA6" s="152">
        <v>-203.1</v>
      </c>
      <c r="AB6" s="182">
        <f t="shared" ref="AB6:AB26" si="7">SUM($Z6:$AA6)</f>
        <v>-567.5</v>
      </c>
      <c r="AC6" s="152">
        <v>-217</v>
      </c>
      <c r="AD6" s="154">
        <v>-784.5</v>
      </c>
      <c r="AE6" s="152">
        <v>-196.4</v>
      </c>
      <c r="AF6" s="152">
        <v>-213.2</v>
      </c>
      <c r="AG6" s="182">
        <f t="shared" ref="AG6:AG26" si="8">SUM($AE6:$AF6)</f>
        <v>-409.6</v>
      </c>
      <c r="AH6" s="152">
        <v>-215.3</v>
      </c>
      <c r="AI6" s="182">
        <f t="shared" ref="AI6:AI26" si="9">SUM($AG6:$AH6)</f>
        <v>-624.90000000000009</v>
      </c>
      <c r="AJ6" s="152">
        <v>-244.6</v>
      </c>
      <c r="AK6" s="154">
        <v>-869.5</v>
      </c>
      <c r="AL6" s="152">
        <v>-211.8</v>
      </c>
      <c r="AM6" s="152">
        <v>-200.6</v>
      </c>
      <c r="AN6" s="182">
        <f t="shared" ref="AN6:AN11" si="10">SUM($AL6:$AM6)</f>
        <v>-412.4</v>
      </c>
      <c r="AO6" s="152">
        <v>-139.30000000000001</v>
      </c>
      <c r="AP6" s="182">
        <f t="shared" ref="AP6:AP26" si="11">SUM($AN6:$AO6)</f>
        <v>-551.70000000000005</v>
      </c>
      <c r="AQ6" s="152">
        <v>-191.4</v>
      </c>
      <c r="AR6" s="154">
        <v>-743.1</v>
      </c>
      <c r="AS6" s="363">
        <v>-157.6</v>
      </c>
      <c r="AT6" s="152">
        <f>AU6-AS6</f>
        <v>-169.9</v>
      </c>
      <c r="AU6" s="182">
        <v>-327.5</v>
      </c>
    </row>
    <row r="7" spans="1:48" x14ac:dyDescent="0.35">
      <c r="A7" s="111" t="s">
        <v>165</v>
      </c>
      <c r="B7" s="111" t="s">
        <v>68</v>
      </c>
      <c r="C7" s="153">
        <v>210.8</v>
      </c>
      <c r="D7" s="153">
        <v>203.8</v>
      </c>
      <c r="E7" s="184">
        <f t="shared" si="0"/>
        <v>414.6</v>
      </c>
      <c r="F7" s="153">
        <v>181.9</v>
      </c>
      <c r="G7" s="184">
        <f t="shared" si="1"/>
        <v>596.5</v>
      </c>
      <c r="H7" s="153">
        <v>200.2</v>
      </c>
      <c r="I7" s="157">
        <v>796.7</v>
      </c>
      <c r="J7" s="153">
        <v>220.3</v>
      </c>
      <c r="K7" s="153">
        <v>208.9</v>
      </c>
      <c r="L7" s="184">
        <f t="shared" si="2"/>
        <v>429.20000000000005</v>
      </c>
      <c r="M7" s="153">
        <v>212.8</v>
      </c>
      <c r="N7" s="184">
        <f t="shared" si="3"/>
        <v>642</v>
      </c>
      <c r="O7" s="153">
        <v>211.8</v>
      </c>
      <c r="P7" s="157">
        <v>853.8</v>
      </c>
      <c r="Q7" s="153">
        <v>236.1</v>
      </c>
      <c r="R7" s="153">
        <v>225.6</v>
      </c>
      <c r="S7" s="184">
        <f t="shared" si="4"/>
        <v>461.7</v>
      </c>
      <c r="T7" s="153">
        <v>217.5</v>
      </c>
      <c r="U7" s="184">
        <f t="shared" si="5"/>
        <v>679.2</v>
      </c>
      <c r="V7" s="153">
        <v>229</v>
      </c>
      <c r="W7" s="157">
        <v>908.2</v>
      </c>
      <c r="X7" s="153">
        <v>215.9</v>
      </c>
      <c r="Y7" s="153">
        <v>249.4</v>
      </c>
      <c r="Z7" s="184">
        <f t="shared" si="6"/>
        <v>465.3</v>
      </c>
      <c r="AA7" s="153">
        <v>242.5</v>
      </c>
      <c r="AB7" s="184">
        <f t="shared" si="7"/>
        <v>707.8</v>
      </c>
      <c r="AC7" s="153">
        <v>266.2</v>
      </c>
      <c r="AD7" s="157">
        <v>974</v>
      </c>
      <c r="AE7" s="153">
        <v>261.7</v>
      </c>
      <c r="AF7" s="153">
        <v>283</v>
      </c>
      <c r="AG7" s="184">
        <f t="shared" si="8"/>
        <v>544.70000000000005</v>
      </c>
      <c r="AH7" s="153">
        <v>324.5</v>
      </c>
      <c r="AI7" s="184">
        <f t="shared" si="9"/>
        <v>869.2</v>
      </c>
      <c r="AJ7" s="153">
        <v>300.39999999999998</v>
      </c>
      <c r="AK7" s="157">
        <v>1169.5999999999999</v>
      </c>
      <c r="AL7" s="153">
        <v>327.7</v>
      </c>
      <c r="AM7" s="153">
        <v>345</v>
      </c>
      <c r="AN7" s="184">
        <f t="shared" si="10"/>
        <v>672.7</v>
      </c>
      <c r="AO7" s="153">
        <v>352</v>
      </c>
      <c r="AP7" s="184">
        <f t="shared" si="11"/>
        <v>1024.7</v>
      </c>
      <c r="AQ7" s="153">
        <v>340.1</v>
      </c>
      <c r="AR7" s="157">
        <v>1364.8</v>
      </c>
      <c r="AS7" s="365">
        <f>AS4+AS6</f>
        <v>365.9</v>
      </c>
      <c r="AT7" s="153">
        <f>AU7-AS7</f>
        <v>382.70000000000005</v>
      </c>
      <c r="AU7" s="184">
        <v>748.6</v>
      </c>
    </row>
    <row r="8" spans="1:48" x14ac:dyDescent="0.35">
      <c r="A8" s="102" t="s">
        <v>166</v>
      </c>
      <c r="B8" s="95" t="s">
        <v>167</v>
      </c>
      <c r="C8" s="27">
        <v>-97.3</v>
      </c>
      <c r="D8" s="27">
        <v>-95.5</v>
      </c>
      <c r="E8" s="183">
        <f t="shared" si="0"/>
        <v>-192.8</v>
      </c>
      <c r="F8" s="27">
        <v>-84.7</v>
      </c>
      <c r="G8" s="183">
        <f t="shared" si="1"/>
        <v>-277.5</v>
      </c>
      <c r="H8" s="27">
        <v>-85.3</v>
      </c>
      <c r="I8" s="155">
        <v>-362.8</v>
      </c>
      <c r="J8" s="27">
        <v>-99.9</v>
      </c>
      <c r="K8" s="27">
        <v>-97.6</v>
      </c>
      <c r="L8" s="183">
        <f t="shared" si="2"/>
        <v>-197.5</v>
      </c>
      <c r="M8" s="27">
        <v>-82.9</v>
      </c>
      <c r="N8" s="183">
        <f t="shared" si="3"/>
        <v>-280.39999999999998</v>
      </c>
      <c r="O8" s="27">
        <v>-77.099999999999994</v>
      </c>
      <c r="P8" s="155">
        <v>-357.5</v>
      </c>
      <c r="Q8" s="27">
        <v>-90.5</v>
      </c>
      <c r="R8" s="27">
        <v>-69.5</v>
      </c>
      <c r="S8" s="183">
        <f t="shared" si="4"/>
        <v>-160</v>
      </c>
      <c r="T8" s="27">
        <v>-66.7</v>
      </c>
      <c r="U8" s="183">
        <f t="shared" si="5"/>
        <v>-226.7</v>
      </c>
      <c r="V8" s="27">
        <v>-74</v>
      </c>
      <c r="W8" s="155">
        <v>-300.7</v>
      </c>
      <c r="X8" s="27">
        <v>-80.2</v>
      </c>
      <c r="Y8" s="27">
        <v>-78.400000000000006</v>
      </c>
      <c r="Z8" s="183">
        <f t="shared" si="6"/>
        <v>-158.60000000000002</v>
      </c>
      <c r="AA8" s="27">
        <v>-76.599999999999994</v>
      </c>
      <c r="AB8" s="183">
        <f t="shared" si="7"/>
        <v>-235.20000000000002</v>
      </c>
      <c r="AC8" s="27">
        <v>-84.4</v>
      </c>
      <c r="AD8" s="155">
        <v>-319.60000000000002</v>
      </c>
      <c r="AE8" s="27">
        <v>-88.6</v>
      </c>
      <c r="AF8" s="27">
        <v>-89.7</v>
      </c>
      <c r="AG8" s="183">
        <f t="shared" si="8"/>
        <v>-178.3</v>
      </c>
      <c r="AH8" s="27">
        <v>-88.7</v>
      </c>
      <c r="AI8" s="183">
        <f t="shared" si="9"/>
        <v>-267</v>
      </c>
      <c r="AJ8" s="27">
        <v>-107.5</v>
      </c>
      <c r="AK8" s="155">
        <v>-374.5</v>
      </c>
      <c r="AL8" s="27">
        <v>-95</v>
      </c>
      <c r="AM8" s="27">
        <v>-102.6</v>
      </c>
      <c r="AN8" s="183">
        <f t="shared" si="10"/>
        <v>-197.6</v>
      </c>
      <c r="AO8" s="27">
        <v>-90.7</v>
      </c>
      <c r="AP8" s="183">
        <f t="shared" si="11"/>
        <v>-288.3</v>
      </c>
      <c r="AQ8" s="27">
        <v>-94.1</v>
      </c>
      <c r="AR8" s="155">
        <v>-382.4</v>
      </c>
      <c r="AS8" s="366">
        <v>-100.2</v>
      </c>
      <c r="AT8" s="27">
        <f>AU8-AS8</f>
        <v>-106.99999999999999</v>
      </c>
      <c r="AU8" s="183">
        <v>-207.2</v>
      </c>
    </row>
    <row r="9" spans="1:48" x14ac:dyDescent="0.35">
      <c r="A9" s="102" t="s">
        <v>168</v>
      </c>
      <c r="B9" s="95" t="s">
        <v>169</v>
      </c>
      <c r="C9" s="27">
        <v>-18.899999999999999</v>
      </c>
      <c r="D9" s="27">
        <v>-20.2</v>
      </c>
      <c r="E9" s="183">
        <f t="shared" si="0"/>
        <v>-39.099999999999994</v>
      </c>
      <c r="F9" s="27">
        <v>-19.2</v>
      </c>
      <c r="G9" s="183">
        <f t="shared" si="1"/>
        <v>-58.3</v>
      </c>
      <c r="H9" s="27">
        <v>-17.2</v>
      </c>
      <c r="I9" s="155">
        <v>-75.5</v>
      </c>
      <c r="J9" s="27">
        <v>-20.2</v>
      </c>
      <c r="K9" s="27">
        <v>-22.7</v>
      </c>
      <c r="L9" s="183">
        <f t="shared" si="2"/>
        <v>-42.9</v>
      </c>
      <c r="M9" s="27">
        <v>-20</v>
      </c>
      <c r="N9" s="183">
        <f t="shared" si="3"/>
        <v>-62.9</v>
      </c>
      <c r="O9" s="27">
        <v>-26.2</v>
      </c>
      <c r="P9" s="155">
        <v>-89.1</v>
      </c>
      <c r="Q9" s="27">
        <v>-20.6</v>
      </c>
      <c r="R9" s="27">
        <v>-19.8</v>
      </c>
      <c r="S9" s="183">
        <f t="shared" si="4"/>
        <v>-40.400000000000006</v>
      </c>
      <c r="T9" s="27">
        <v>-20.100000000000001</v>
      </c>
      <c r="U9" s="183">
        <f t="shared" si="5"/>
        <v>-60.500000000000007</v>
      </c>
      <c r="V9" s="27">
        <v>-19.899999999999999</v>
      </c>
      <c r="W9" s="155">
        <v>-80.400000000000006</v>
      </c>
      <c r="X9" s="27">
        <v>-20.5</v>
      </c>
      <c r="Y9" s="27">
        <v>-21</v>
      </c>
      <c r="Z9" s="183">
        <f t="shared" si="6"/>
        <v>-41.5</v>
      </c>
      <c r="AA9" s="27">
        <v>-20.2</v>
      </c>
      <c r="AB9" s="183">
        <f t="shared" si="7"/>
        <v>-61.7</v>
      </c>
      <c r="AC9" s="27">
        <v>-18.2</v>
      </c>
      <c r="AD9" s="155">
        <v>-79.900000000000006</v>
      </c>
      <c r="AE9" s="27">
        <v>-20.399999999999999</v>
      </c>
      <c r="AF9" s="27">
        <v>-22</v>
      </c>
      <c r="AG9" s="183">
        <f t="shared" si="8"/>
        <v>-42.4</v>
      </c>
      <c r="AH9" s="27">
        <v>-21.9</v>
      </c>
      <c r="AI9" s="183">
        <f t="shared" si="9"/>
        <v>-64.3</v>
      </c>
      <c r="AJ9" s="27">
        <v>-24.3</v>
      </c>
      <c r="AK9" s="155">
        <v>-88.6</v>
      </c>
      <c r="AL9" s="27">
        <v>-31.4</v>
      </c>
      <c r="AM9" s="27">
        <v>-35.6</v>
      </c>
      <c r="AN9" s="183">
        <f t="shared" si="10"/>
        <v>-67</v>
      </c>
      <c r="AO9" s="27">
        <v>-31.4</v>
      </c>
      <c r="AP9" s="183">
        <f t="shared" si="11"/>
        <v>-98.4</v>
      </c>
      <c r="AQ9" s="27">
        <v>-34</v>
      </c>
      <c r="AR9" s="155">
        <v>-132.4</v>
      </c>
      <c r="AS9" s="366">
        <v>-33.799999999999997</v>
      </c>
      <c r="AT9" s="27">
        <f t="shared" ref="AT9:AT10" si="12">AU9-AS9</f>
        <v>-35</v>
      </c>
      <c r="AU9" s="183">
        <v>-68.8</v>
      </c>
    </row>
    <row r="10" spans="1:48" x14ac:dyDescent="0.35">
      <c r="A10" s="112" t="s">
        <v>170</v>
      </c>
      <c r="B10" s="95" t="s">
        <v>171</v>
      </c>
      <c r="C10" s="27">
        <v>-36.5</v>
      </c>
      <c r="D10" s="27">
        <v>-32.799999999999997</v>
      </c>
      <c r="E10" s="183">
        <f t="shared" si="0"/>
        <v>-69.3</v>
      </c>
      <c r="F10" s="27">
        <v>-27.9</v>
      </c>
      <c r="G10" s="183">
        <f t="shared" si="1"/>
        <v>-97.199999999999989</v>
      </c>
      <c r="H10" s="27">
        <v>-30.1</v>
      </c>
      <c r="I10" s="155">
        <v>-127.3</v>
      </c>
      <c r="J10" s="27">
        <v>-36.9</v>
      </c>
      <c r="K10" s="27">
        <v>-39.9</v>
      </c>
      <c r="L10" s="183">
        <f t="shared" si="2"/>
        <v>-76.8</v>
      </c>
      <c r="M10" s="27">
        <v>-36.4</v>
      </c>
      <c r="N10" s="183">
        <f t="shared" si="3"/>
        <v>-113.19999999999999</v>
      </c>
      <c r="O10" s="27">
        <v>-37</v>
      </c>
      <c r="P10" s="155">
        <v>-150.19999999999999</v>
      </c>
      <c r="Q10" s="27">
        <v>-44.4</v>
      </c>
      <c r="R10" s="27">
        <v>-40.9</v>
      </c>
      <c r="S10" s="183">
        <f t="shared" si="4"/>
        <v>-85.3</v>
      </c>
      <c r="T10" s="27">
        <v>-37.6</v>
      </c>
      <c r="U10" s="183">
        <f t="shared" si="5"/>
        <v>-122.9</v>
      </c>
      <c r="V10" s="27">
        <v>-30.9</v>
      </c>
      <c r="W10" s="155">
        <v>-153.80000000000001</v>
      </c>
      <c r="X10" s="27">
        <v>-43</v>
      </c>
      <c r="Y10" s="27">
        <v>-45.3</v>
      </c>
      <c r="Z10" s="183">
        <f t="shared" si="6"/>
        <v>-88.3</v>
      </c>
      <c r="AA10" s="27">
        <v>-46.7</v>
      </c>
      <c r="AB10" s="183">
        <f t="shared" si="7"/>
        <v>-135</v>
      </c>
      <c r="AC10" s="27">
        <v>-35.1</v>
      </c>
      <c r="AD10" s="155">
        <v>-170.1</v>
      </c>
      <c r="AE10" s="27">
        <v>-46.3</v>
      </c>
      <c r="AF10" s="27">
        <v>-51.7</v>
      </c>
      <c r="AG10" s="183">
        <f t="shared" si="8"/>
        <v>-98</v>
      </c>
      <c r="AH10" s="27">
        <v>-46.2</v>
      </c>
      <c r="AI10" s="183">
        <f t="shared" si="9"/>
        <v>-144.19999999999999</v>
      </c>
      <c r="AJ10" s="27">
        <v>-46.6</v>
      </c>
      <c r="AK10" s="155">
        <v>-190.8</v>
      </c>
      <c r="AL10" s="27">
        <v>-44.1</v>
      </c>
      <c r="AM10" s="27">
        <v>-59.2</v>
      </c>
      <c r="AN10" s="183">
        <f t="shared" si="10"/>
        <v>-103.30000000000001</v>
      </c>
      <c r="AO10" s="27">
        <v>-52</v>
      </c>
      <c r="AP10" s="183">
        <f t="shared" si="11"/>
        <v>-155.30000000000001</v>
      </c>
      <c r="AQ10" s="27">
        <v>-49.8</v>
      </c>
      <c r="AR10" s="155">
        <v>-205.1</v>
      </c>
      <c r="AS10" s="366">
        <v>-58.5</v>
      </c>
      <c r="AT10" s="27">
        <f t="shared" si="12"/>
        <v>-57.8</v>
      </c>
      <c r="AU10" s="183">
        <v>-116.3</v>
      </c>
      <c r="AV10" s="16"/>
    </row>
    <row r="11" spans="1:48" x14ac:dyDescent="0.35">
      <c r="A11" s="102" t="s">
        <v>172</v>
      </c>
      <c r="B11" s="102" t="s">
        <v>173</v>
      </c>
      <c r="C11" s="27">
        <v>-1.3</v>
      </c>
      <c r="D11" s="27">
        <v>1.4</v>
      </c>
      <c r="E11" s="183">
        <f t="shared" si="0"/>
        <v>9.9999999999999867E-2</v>
      </c>
      <c r="F11" s="27">
        <v>-1.2</v>
      </c>
      <c r="G11" s="183">
        <f t="shared" si="1"/>
        <v>-1.1000000000000001</v>
      </c>
      <c r="H11" s="27">
        <v>-89.9</v>
      </c>
      <c r="I11" s="155">
        <v>-91</v>
      </c>
      <c r="J11" s="27">
        <v>-9.1999999999999993</v>
      </c>
      <c r="K11" s="27">
        <v>4.3</v>
      </c>
      <c r="L11" s="183">
        <f t="shared" si="2"/>
        <v>-4.8999999999999995</v>
      </c>
      <c r="M11" s="27">
        <v>-20.100000000000001</v>
      </c>
      <c r="N11" s="183">
        <f t="shared" si="3"/>
        <v>-25</v>
      </c>
      <c r="O11" s="27">
        <v>-112.6</v>
      </c>
      <c r="P11" s="155">
        <v>-137.6</v>
      </c>
      <c r="Q11" s="27">
        <v>-6.8</v>
      </c>
      <c r="R11" s="27">
        <v>-17.3</v>
      </c>
      <c r="S11" s="183">
        <f t="shared" si="4"/>
        <v>-24.1</v>
      </c>
      <c r="T11" s="27">
        <v>-10</v>
      </c>
      <c r="U11" s="183">
        <f t="shared" si="5"/>
        <v>-34.1</v>
      </c>
      <c r="V11" s="27">
        <v>-15.1</v>
      </c>
      <c r="W11" s="155">
        <v>-49.2</v>
      </c>
      <c r="X11" s="27">
        <v>-5.4</v>
      </c>
      <c r="Y11" s="27">
        <v>-1.7</v>
      </c>
      <c r="Z11" s="183">
        <f t="shared" si="6"/>
        <v>-7.1000000000000005</v>
      </c>
      <c r="AA11" s="27">
        <v>-5.6</v>
      </c>
      <c r="AB11" s="183">
        <f t="shared" si="7"/>
        <v>-12.7</v>
      </c>
      <c r="AC11" s="27">
        <f>13.1-26.9</f>
        <v>-13.799999999999999</v>
      </c>
      <c r="AD11" s="155">
        <v>-26.5</v>
      </c>
      <c r="AE11" s="27">
        <f>7.9-12.2</f>
        <v>-4.2999999999999989</v>
      </c>
      <c r="AF11" s="27">
        <f>28.6-13.6</f>
        <v>15.000000000000002</v>
      </c>
      <c r="AG11" s="183">
        <f t="shared" si="8"/>
        <v>10.700000000000003</v>
      </c>
      <c r="AH11" s="27">
        <f>11.4-18</f>
        <v>-6.6</v>
      </c>
      <c r="AI11" s="183">
        <f t="shared" si="9"/>
        <v>4.1000000000000032</v>
      </c>
      <c r="AJ11" s="27">
        <v>-133.69999999999999</v>
      </c>
      <c r="AK11" s="155">
        <f>60.2-189.8</f>
        <v>-129.60000000000002</v>
      </c>
      <c r="AL11" s="27">
        <f>7.4-25</f>
        <v>-17.600000000000001</v>
      </c>
      <c r="AM11" s="27">
        <f>6.7-44.3</f>
        <v>-37.599999999999994</v>
      </c>
      <c r="AN11" s="183">
        <f t="shared" si="10"/>
        <v>-55.199999999999996</v>
      </c>
      <c r="AO11" s="27">
        <f>5.2-53.4</f>
        <v>-48.199999999999996</v>
      </c>
      <c r="AP11" s="183">
        <f t="shared" si="11"/>
        <v>-103.39999999999999</v>
      </c>
      <c r="AQ11" s="27">
        <v>-44.6</v>
      </c>
      <c r="AR11" s="155">
        <v>-148</v>
      </c>
      <c r="AS11" s="366">
        <v>-9.4</v>
      </c>
      <c r="AT11" s="27">
        <f>AU11-AS11</f>
        <v>-24.200000000000003</v>
      </c>
      <c r="AU11" s="183">
        <f>24.5-58.1</f>
        <v>-33.6</v>
      </c>
    </row>
    <row r="12" spans="1:48" s="160" customFormat="1" x14ac:dyDescent="0.35">
      <c r="A12" s="193" t="s">
        <v>174</v>
      </c>
      <c r="B12" s="193" t="s">
        <v>175</v>
      </c>
      <c r="C12" s="279">
        <v>-6.3</v>
      </c>
      <c r="D12" s="279">
        <v>-3.8</v>
      </c>
      <c r="E12" s="280">
        <v>-10.199999999999999</v>
      </c>
      <c r="F12" s="279">
        <v>-4.3</v>
      </c>
      <c r="G12" s="280">
        <v>-14.4</v>
      </c>
      <c r="H12" s="279">
        <v>-2.4</v>
      </c>
      <c r="I12" s="281">
        <v>-16.8</v>
      </c>
      <c r="J12" s="279">
        <v>-4.5999999999999996</v>
      </c>
      <c r="K12" s="279">
        <v>-3.4</v>
      </c>
      <c r="L12" s="280">
        <f t="shared" si="2"/>
        <v>-8</v>
      </c>
      <c r="M12" s="279">
        <v>-4.2</v>
      </c>
      <c r="N12" s="280">
        <f t="shared" si="3"/>
        <v>-12.2</v>
      </c>
      <c r="O12" s="279">
        <v>-0.4</v>
      </c>
      <c r="P12" s="281">
        <v>-12.6</v>
      </c>
      <c r="Q12" s="279">
        <v>-5.8</v>
      </c>
      <c r="R12" s="279">
        <v>-4.2</v>
      </c>
      <c r="S12" s="280">
        <f t="shared" si="4"/>
        <v>-10</v>
      </c>
      <c r="T12" s="279">
        <v>-4.5999999999999996</v>
      </c>
      <c r="U12" s="280">
        <f t="shared" si="5"/>
        <v>-14.6</v>
      </c>
      <c r="V12" s="279">
        <v>-3.3</v>
      </c>
      <c r="W12" s="281">
        <v>-17.899999999999999</v>
      </c>
      <c r="X12" s="279">
        <v>-6</v>
      </c>
      <c r="Y12" s="279">
        <v>-4.3</v>
      </c>
      <c r="Z12" s="280">
        <f t="shared" si="6"/>
        <v>-10.3</v>
      </c>
      <c r="AA12" s="279">
        <v>-4</v>
      </c>
      <c r="AB12" s="280">
        <f t="shared" si="7"/>
        <v>-14.3</v>
      </c>
      <c r="AC12" s="279">
        <v>-3.5</v>
      </c>
      <c r="AD12" s="281">
        <v>-17.8</v>
      </c>
      <c r="AE12" s="279">
        <v>-6.5</v>
      </c>
      <c r="AF12" s="279">
        <v>-5.8</v>
      </c>
      <c r="AG12" s="280">
        <v>-12.3</v>
      </c>
      <c r="AH12" s="279">
        <v>-5.7</v>
      </c>
      <c r="AI12" s="280">
        <v>-18.100000000000001</v>
      </c>
      <c r="AJ12" s="279">
        <v>-6.7</v>
      </c>
      <c r="AK12" s="281">
        <v>-24.8</v>
      </c>
      <c r="AL12" s="279">
        <v>-7.2</v>
      </c>
      <c r="AM12" s="279">
        <v>-10.7</v>
      </c>
      <c r="AN12" s="280">
        <v>-17.8</v>
      </c>
      <c r="AO12" s="279">
        <v>-10.3</v>
      </c>
      <c r="AP12" s="280">
        <v>-28.2</v>
      </c>
      <c r="AQ12" s="279">
        <f>AR12-AP12</f>
        <v>-2.1999999999999993</v>
      </c>
      <c r="AR12" s="281">
        <v>-30.4</v>
      </c>
      <c r="AS12" s="364">
        <v>-9.3000000000000007</v>
      </c>
      <c r="AT12" s="364">
        <f>AU12-AS12</f>
        <v>-5.2999999999999989</v>
      </c>
      <c r="AU12" s="280">
        <v>-14.6</v>
      </c>
    </row>
    <row r="13" spans="1:48" s="160" customFormat="1" x14ac:dyDescent="0.35">
      <c r="A13" s="193" t="s">
        <v>176</v>
      </c>
      <c r="B13" s="193" t="s">
        <v>177</v>
      </c>
      <c r="C13" s="279">
        <v>0</v>
      </c>
      <c r="D13" s="279">
        <v>0</v>
      </c>
      <c r="E13" s="280">
        <v>0</v>
      </c>
      <c r="F13" s="279">
        <v>0</v>
      </c>
      <c r="G13" s="280">
        <v>0</v>
      </c>
      <c r="H13" s="279">
        <v>0</v>
      </c>
      <c r="I13" s="281">
        <v>0</v>
      </c>
      <c r="J13" s="279">
        <v>0</v>
      </c>
      <c r="K13" s="279">
        <v>0</v>
      </c>
      <c r="L13" s="280">
        <f t="shared" si="2"/>
        <v>0</v>
      </c>
      <c r="M13" s="279">
        <v>0</v>
      </c>
      <c r="N13" s="280">
        <f t="shared" si="3"/>
        <v>0</v>
      </c>
      <c r="O13" s="279">
        <v>0</v>
      </c>
      <c r="P13" s="281">
        <v>0</v>
      </c>
      <c r="Q13" s="279">
        <v>0</v>
      </c>
      <c r="R13" s="279">
        <v>0</v>
      </c>
      <c r="S13" s="280">
        <v>0</v>
      </c>
      <c r="T13" s="279">
        <v>0</v>
      </c>
      <c r="U13" s="280">
        <v>0</v>
      </c>
      <c r="V13" s="279">
        <v>0</v>
      </c>
      <c r="W13" s="281">
        <v>0</v>
      </c>
      <c r="X13" s="279">
        <v>0</v>
      </c>
      <c r="Y13" s="279">
        <v>0.8</v>
      </c>
      <c r="Z13" s="280">
        <v>0.8</v>
      </c>
      <c r="AA13" s="279">
        <v>3.9</v>
      </c>
      <c r="AB13" s="280">
        <v>4.5999999999999996</v>
      </c>
      <c r="AC13" s="279">
        <v>5.2</v>
      </c>
      <c r="AD13" s="281">
        <v>9.9</v>
      </c>
      <c r="AE13" s="279">
        <v>0</v>
      </c>
      <c r="AF13" s="279">
        <v>27.7</v>
      </c>
      <c r="AG13" s="280">
        <v>27.7</v>
      </c>
      <c r="AH13" s="279">
        <v>0.3</v>
      </c>
      <c r="AI13" s="280">
        <v>28</v>
      </c>
      <c r="AJ13" s="279">
        <v>6.1</v>
      </c>
      <c r="AK13" s="281">
        <v>34.1</v>
      </c>
      <c r="AL13" s="279">
        <v>0</v>
      </c>
      <c r="AM13" s="279">
        <v>1.9</v>
      </c>
      <c r="AN13" s="280">
        <v>1.9</v>
      </c>
      <c r="AO13" s="279">
        <v>0</v>
      </c>
      <c r="AP13" s="280">
        <v>1.9</v>
      </c>
      <c r="AQ13" s="279">
        <f>AR13-AP13</f>
        <v>-0.29999999999999982</v>
      </c>
      <c r="AR13" s="281">
        <v>1.6</v>
      </c>
      <c r="AS13" s="364">
        <v>3.2</v>
      </c>
      <c r="AT13" s="364">
        <f>AU13-AS13</f>
        <v>3.7</v>
      </c>
      <c r="AU13" s="280">
        <v>6.9</v>
      </c>
    </row>
    <row r="14" spans="1:48" x14ac:dyDescent="0.35">
      <c r="A14" s="102" t="s">
        <v>179</v>
      </c>
      <c r="B14" s="102" t="s">
        <v>180</v>
      </c>
      <c r="C14" s="27" t="s">
        <v>178</v>
      </c>
      <c r="D14" s="27" t="s">
        <v>178</v>
      </c>
      <c r="E14" s="183">
        <f t="shared" si="0"/>
        <v>0</v>
      </c>
      <c r="F14" s="27" t="s">
        <v>178</v>
      </c>
      <c r="G14" s="183">
        <f t="shared" si="1"/>
        <v>0</v>
      </c>
      <c r="H14" s="27">
        <v>1.3</v>
      </c>
      <c r="I14" s="155">
        <v>1.3</v>
      </c>
      <c r="J14" s="27">
        <v>0.1</v>
      </c>
      <c r="K14" s="27">
        <v>0.2</v>
      </c>
      <c r="L14" s="183">
        <f t="shared" si="2"/>
        <v>0.30000000000000004</v>
      </c>
      <c r="M14" s="27">
        <v>0.6</v>
      </c>
      <c r="N14" s="183">
        <f t="shared" si="3"/>
        <v>0.9</v>
      </c>
      <c r="O14" s="27">
        <v>2.2999999999999998</v>
      </c>
      <c r="P14" s="155">
        <v>3.2</v>
      </c>
      <c r="Q14" s="27">
        <v>0.3</v>
      </c>
      <c r="R14" s="27">
        <v>-0.8</v>
      </c>
      <c r="S14" s="183">
        <f t="shared" si="4"/>
        <v>-0.5</v>
      </c>
      <c r="T14" s="27">
        <v>1.9</v>
      </c>
      <c r="U14" s="183">
        <f t="shared" si="5"/>
        <v>1.4</v>
      </c>
      <c r="V14" s="27">
        <v>2.4</v>
      </c>
      <c r="W14" s="155">
        <v>3.8</v>
      </c>
      <c r="X14" s="27">
        <v>0.5</v>
      </c>
      <c r="Y14" s="27">
        <v>-0.3</v>
      </c>
      <c r="Z14" s="183">
        <f t="shared" si="6"/>
        <v>0.2</v>
      </c>
      <c r="AA14" s="27">
        <v>0.3</v>
      </c>
      <c r="AB14" s="183">
        <f t="shared" si="7"/>
        <v>0.5</v>
      </c>
      <c r="AC14" s="27">
        <v>0.4</v>
      </c>
      <c r="AD14" s="155">
        <v>0.9</v>
      </c>
      <c r="AE14" s="27">
        <v>0.1</v>
      </c>
      <c r="AF14" s="27">
        <v>-0.3</v>
      </c>
      <c r="AG14" s="183">
        <f t="shared" si="8"/>
        <v>-0.19999999999999998</v>
      </c>
      <c r="AH14" s="27">
        <v>0.7</v>
      </c>
      <c r="AI14" s="183">
        <f t="shared" si="9"/>
        <v>0.5</v>
      </c>
      <c r="AJ14" s="27">
        <v>3.5</v>
      </c>
      <c r="AK14" s="155">
        <v>4</v>
      </c>
      <c r="AL14" s="27">
        <v>-0.3</v>
      </c>
      <c r="AM14" s="27">
        <v>0.1</v>
      </c>
      <c r="AN14" s="183">
        <f t="shared" ref="AN14:AN23" si="13">SUM($AL14:$AM14)</f>
        <v>-0.19999999999999998</v>
      </c>
      <c r="AO14" s="27">
        <v>-0.9</v>
      </c>
      <c r="AP14" s="183">
        <f t="shared" si="11"/>
        <v>-1.1000000000000001</v>
      </c>
      <c r="AQ14" s="27">
        <v>-0.1</v>
      </c>
      <c r="AR14" s="155">
        <v>-1.2</v>
      </c>
      <c r="AS14" s="366">
        <v>-0.3</v>
      </c>
      <c r="AT14" s="27">
        <f>AU14-AS14</f>
        <v>1.9000000000000001</v>
      </c>
      <c r="AU14" s="183">
        <v>1.6</v>
      </c>
    </row>
    <row r="15" spans="1:48" x14ac:dyDescent="0.35">
      <c r="A15" s="111" t="s">
        <v>181</v>
      </c>
      <c r="B15" s="111" t="s">
        <v>182</v>
      </c>
      <c r="C15" s="153">
        <v>56.8</v>
      </c>
      <c r="D15" s="153">
        <v>56.7</v>
      </c>
      <c r="E15" s="184">
        <f t="shared" si="0"/>
        <v>113.5</v>
      </c>
      <c r="F15" s="153">
        <v>48.9</v>
      </c>
      <c r="G15" s="184">
        <f t="shared" si="1"/>
        <v>162.4</v>
      </c>
      <c r="H15" s="153">
        <v>-21</v>
      </c>
      <c r="I15" s="157">
        <v>141.4</v>
      </c>
      <c r="J15" s="153">
        <v>54.2</v>
      </c>
      <c r="K15" s="153">
        <v>53.2</v>
      </c>
      <c r="L15" s="184">
        <f t="shared" si="2"/>
        <v>107.4</v>
      </c>
      <c r="M15" s="153">
        <v>54</v>
      </c>
      <c r="N15" s="184">
        <f t="shared" si="3"/>
        <v>161.4</v>
      </c>
      <c r="O15" s="153">
        <v>-38.799999999999997</v>
      </c>
      <c r="P15" s="157">
        <v>122.6</v>
      </c>
      <c r="Q15" s="153">
        <v>74.099999999999994</v>
      </c>
      <c r="R15" s="153">
        <v>77.3</v>
      </c>
      <c r="S15" s="184">
        <f t="shared" si="4"/>
        <v>151.39999999999998</v>
      </c>
      <c r="T15" s="153">
        <v>85</v>
      </c>
      <c r="U15" s="184">
        <f t="shared" si="5"/>
        <v>236.39999999999998</v>
      </c>
      <c r="V15" s="153">
        <v>91.5</v>
      </c>
      <c r="W15" s="157">
        <v>327.9</v>
      </c>
      <c r="X15" s="153">
        <v>67.3</v>
      </c>
      <c r="Y15" s="153">
        <v>102.7</v>
      </c>
      <c r="Z15" s="184">
        <f t="shared" si="6"/>
        <v>170</v>
      </c>
      <c r="AA15" s="153">
        <v>93.7</v>
      </c>
      <c r="AB15" s="184">
        <f t="shared" si="7"/>
        <v>263.7</v>
      </c>
      <c r="AC15" s="153">
        <v>115.1</v>
      </c>
      <c r="AD15" s="157">
        <v>378.8</v>
      </c>
      <c r="AE15" s="153">
        <v>102.2</v>
      </c>
      <c r="AF15" s="153">
        <v>134.30000000000001</v>
      </c>
      <c r="AG15" s="184">
        <f t="shared" si="8"/>
        <v>236.5</v>
      </c>
      <c r="AH15" s="153">
        <v>161.80000000000001</v>
      </c>
      <c r="AI15" s="184">
        <f t="shared" si="9"/>
        <v>398.3</v>
      </c>
      <c r="AJ15" s="153">
        <v>-8.1999999999999993</v>
      </c>
      <c r="AK15" s="157">
        <v>390.1</v>
      </c>
      <c r="AL15" s="153">
        <v>139.30000000000001</v>
      </c>
      <c r="AM15" s="153">
        <v>110.1</v>
      </c>
      <c r="AN15" s="184">
        <f t="shared" si="13"/>
        <v>249.4</v>
      </c>
      <c r="AO15" s="153">
        <v>128.80000000000001</v>
      </c>
      <c r="AP15" s="184">
        <f t="shared" si="11"/>
        <v>378.20000000000005</v>
      </c>
      <c r="AQ15" s="153">
        <v>117.5</v>
      </c>
      <c r="AR15" s="157">
        <v>495.7</v>
      </c>
      <c r="AS15" s="365">
        <f>AS7+AS8+AS9+AS10+AS11+AS14</f>
        <v>163.69999999999996</v>
      </c>
      <c r="AT15" s="153">
        <f>AU15-AS15</f>
        <v>160.60000000000005</v>
      </c>
      <c r="AU15" s="184">
        <v>324.3</v>
      </c>
    </row>
    <row r="16" spans="1:48" x14ac:dyDescent="0.35">
      <c r="A16" s="102" t="s">
        <v>183</v>
      </c>
      <c r="B16" s="102" t="s">
        <v>184</v>
      </c>
      <c r="C16" s="27">
        <v>11.8</v>
      </c>
      <c r="D16" s="27">
        <v>44.9</v>
      </c>
      <c r="E16" s="183">
        <f t="shared" si="0"/>
        <v>56.7</v>
      </c>
      <c r="F16" s="27">
        <v>-3.8</v>
      </c>
      <c r="G16" s="183">
        <f t="shared" si="1"/>
        <v>52.900000000000006</v>
      </c>
      <c r="H16" s="27">
        <v>7.6</v>
      </c>
      <c r="I16" s="155">
        <v>60.5</v>
      </c>
      <c r="J16" s="27">
        <v>23.8</v>
      </c>
      <c r="K16" s="27">
        <v>9.1</v>
      </c>
      <c r="L16" s="183">
        <f t="shared" si="2"/>
        <v>32.9</v>
      </c>
      <c r="M16" s="27">
        <v>29.1</v>
      </c>
      <c r="N16" s="183">
        <f t="shared" si="3"/>
        <v>62</v>
      </c>
      <c r="O16" s="27">
        <v>1</v>
      </c>
      <c r="P16" s="155">
        <v>63</v>
      </c>
      <c r="Q16" s="27">
        <v>43.7</v>
      </c>
      <c r="R16" s="27">
        <v>14.7</v>
      </c>
      <c r="S16" s="183">
        <f t="shared" si="4"/>
        <v>58.400000000000006</v>
      </c>
      <c r="T16" s="27">
        <v>8.6</v>
      </c>
      <c r="U16" s="183">
        <f t="shared" si="5"/>
        <v>67</v>
      </c>
      <c r="V16" s="27">
        <v>15</v>
      </c>
      <c r="W16" s="155">
        <v>82</v>
      </c>
      <c r="X16" s="27">
        <v>16.2</v>
      </c>
      <c r="Y16" s="27">
        <v>3.2</v>
      </c>
      <c r="Z16" s="183">
        <f t="shared" si="6"/>
        <v>19.399999999999999</v>
      </c>
      <c r="AA16" s="27">
        <v>31.8</v>
      </c>
      <c r="AB16" s="183">
        <f t="shared" si="7"/>
        <v>51.2</v>
      </c>
      <c r="AC16" s="27">
        <v>32.799999999999997</v>
      </c>
      <c r="AD16" s="155">
        <v>84</v>
      </c>
      <c r="AE16" s="27">
        <v>44.9</v>
      </c>
      <c r="AF16" s="27">
        <v>136.19999999999999</v>
      </c>
      <c r="AG16" s="183">
        <f t="shared" si="8"/>
        <v>181.1</v>
      </c>
      <c r="AH16" s="27">
        <v>69.400000000000006</v>
      </c>
      <c r="AI16" s="183">
        <f t="shared" si="9"/>
        <v>250.5</v>
      </c>
      <c r="AJ16" s="27">
        <v>-25</v>
      </c>
      <c r="AK16" s="155">
        <v>225.5</v>
      </c>
      <c r="AL16" s="27">
        <v>54.5</v>
      </c>
      <c r="AM16" s="27">
        <v>82.9</v>
      </c>
      <c r="AN16" s="183">
        <f t="shared" si="13"/>
        <v>137.4</v>
      </c>
      <c r="AO16" s="27">
        <v>58.1</v>
      </c>
      <c r="AP16" s="183">
        <f t="shared" si="11"/>
        <v>195.5</v>
      </c>
      <c r="AQ16" s="27">
        <v>24.5</v>
      </c>
      <c r="AR16" s="155">
        <v>200</v>
      </c>
      <c r="AS16" s="366">
        <v>69.8</v>
      </c>
      <c r="AT16" s="366">
        <f t="shared" ref="AT16:AT17" si="14">AU16-AS16</f>
        <v>64.899999999999991</v>
      </c>
      <c r="AU16" s="183">
        <v>134.69999999999999</v>
      </c>
    </row>
    <row r="17" spans="1:47" x14ac:dyDescent="0.35">
      <c r="A17" s="102" t="s">
        <v>185</v>
      </c>
      <c r="B17" s="102" t="s">
        <v>186</v>
      </c>
      <c r="C17" s="27">
        <v>-19.5</v>
      </c>
      <c r="D17" s="27">
        <v>-18.899999999999999</v>
      </c>
      <c r="E17" s="183">
        <f t="shared" si="0"/>
        <v>-38.4</v>
      </c>
      <c r="F17" s="27">
        <v>-9.6999999999999993</v>
      </c>
      <c r="G17" s="183">
        <f t="shared" si="1"/>
        <v>-48.099999999999994</v>
      </c>
      <c r="H17" s="27">
        <v>-19.2</v>
      </c>
      <c r="I17" s="155">
        <v>-67.3</v>
      </c>
      <c r="J17" s="27">
        <v>-7.3</v>
      </c>
      <c r="K17" s="27">
        <v>-3.3</v>
      </c>
      <c r="L17" s="183">
        <f t="shared" si="2"/>
        <v>-10.6</v>
      </c>
      <c r="M17" s="27">
        <v>-3</v>
      </c>
      <c r="N17" s="183">
        <f t="shared" si="3"/>
        <v>-13.6</v>
      </c>
      <c r="O17" s="27">
        <v>-17.7</v>
      </c>
      <c r="P17" s="155">
        <v>-31.3</v>
      </c>
      <c r="Q17" s="27">
        <v>-26.9</v>
      </c>
      <c r="R17" s="27">
        <v>-4.2</v>
      </c>
      <c r="S17" s="183">
        <f t="shared" si="4"/>
        <v>-31.099999999999998</v>
      </c>
      <c r="T17" s="27">
        <v>-21.8</v>
      </c>
      <c r="U17" s="183">
        <f t="shared" si="5"/>
        <v>-52.9</v>
      </c>
      <c r="V17" s="27">
        <v>-31.5</v>
      </c>
      <c r="W17" s="155">
        <v>-84.4</v>
      </c>
      <c r="X17" s="27">
        <v>-12.3</v>
      </c>
      <c r="Y17" s="27">
        <v>-20.399999999999999</v>
      </c>
      <c r="Z17" s="183">
        <f t="shared" si="6"/>
        <v>-32.700000000000003</v>
      </c>
      <c r="AA17" s="27">
        <v>-13.4</v>
      </c>
      <c r="AB17" s="183">
        <f t="shared" si="7"/>
        <v>-46.1</v>
      </c>
      <c r="AC17" s="27">
        <v>-16.600000000000001</v>
      </c>
      <c r="AD17" s="155">
        <v>-62.7</v>
      </c>
      <c r="AE17" s="27">
        <v>-41.3</v>
      </c>
      <c r="AF17" s="27">
        <v>-60.4</v>
      </c>
      <c r="AG17" s="183">
        <f t="shared" si="8"/>
        <v>-101.69999999999999</v>
      </c>
      <c r="AH17" s="27">
        <v>-16.3</v>
      </c>
      <c r="AI17" s="183">
        <f t="shared" si="9"/>
        <v>-117.99999999999999</v>
      </c>
      <c r="AJ17" s="27">
        <v>-92.4</v>
      </c>
      <c r="AK17" s="155">
        <v>-210.4</v>
      </c>
      <c r="AL17" s="27">
        <v>-98.6</v>
      </c>
      <c r="AM17" s="27">
        <v>-104.1</v>
      </c>
      <c r="AN17" s="183">
        <f t="shared" si="13"/>
        <v>-202.7</v>
      </c>
      <c r="AO17" s="27">
        <v>-41.1</v>
      </c>
      <c r="AP17" s="183">
        <f t="shared" si="11"/>
        <v>-243.79999999999998</v>
      </c>
      <c r="AQ17" s="27">
        <v>-38.9</v>
      </c>
      <c r="AR17" s="155">
        <v>-282.7</v>
      </c>
      <c r="AS17" s="366">
        <v>-29.6</v>
      </c>
      <c r="AT17" s="366">
        <f t="shared" si="14"/>
        <v>-42.9</v>
      </c>
      <c r="AU17" s="183">
        <v>-72.5</v>
      </c>
    </row>
    <row r="18" spans="1:47" x14ac:dyDescent="0.35">
      <c r="A18" s="103" t="s">
        <v>187</v>
      </c>
      <c r="B18" s="103" t="s">
        <v>188</v>
      </c>
      <c r="C18" s="152">
        <v>-7.7</v>
      </c>
      <c r="D18" s="152">
        <v>26</v>
      </c>
      <c r="E18" s="182">
        <f t="shared" si="0"/>
        <v>18.3</v>
      </c>
      <c r="F18" s="152">
        <v>-13.5</v>
      </c>
      <c r="G18" s="182">
        <f t="shared" si="1"/>
        <v>4.8000000000000007</v>
      </c>
      <c r="H18" s="152">
        <v>-11.6</v>
      </c>
      <c r="I18" s="154">
        <v>-6.8</v>
      </c>
      <c r="J18" s="152">
        <v>16.5</v>
      </c>
      <c r="K18" s="152">
        <v>5.8</v>
      </c>
      <c r="L18" s="182">
        <f t="shared" si="2"/>
        <v>22.3</v>
      </c>
      <c r="M18" s="152">
        <v>26.1</v>
      </c>
      <c r="N18" s="182">
        <f t="shared" si="3"/>
        <v>48.400000000000006</v>
      </c>
      <c r="O18" s="152">
        <v>-16.7</v>
      </c>
      <c r="P18" s="154">
        <v>31.7</v>
      </c>
      <c r="Q18" s="152">
        <v>16.8</v>
      </c>
      <c r="R18" s="152">
        <v>10.5</v>
      </c>
      <c r="S18" s="182">
        <f t="shared" si="4"/>
        <v>27.3</v>
      </c>
      <c r="T18" s="152">
        <v>-13.2</v>
      </c>
      <c r="U18" s="182">
        <f t="shared" si="5"/>
        <v>14.100000000000001</v>
      </c>
      <c r="V18" s="152">
        <v>-16.5</v>
      </c>
      <c r="W18" s="154">
        <v>-2.4</v>
      </c>
      <c r="X18" s="152">
        <v>3.9</v>
      </c>
      <c r="Y18" s="152">
        <v>-17.2</v>
      </c>
      <c r="Z18" s="182">
        <f t="shared" si="6"/>
        <v>-13.299999999999999</v>
      </c>
      <c r="AA18" s="152">
        <v>18.399999999999999</v>
      </c>
      <c r="AB18" s="182">
        <f t="shared" si="7"/>
        <v>5.0999999999999996</v>
      </c>
      <c r="AC18" s="152">
        <v>16.2</v>
      </c>
      <c r="AD18" s="154">
        <v>21.3</v>
      </c>
      <c r="AE18" s="152">
        <v>3.6</v>
      </c>
      <c r="AF18" s="152">
        <v>75.8</v>
      </c>
      <c r="AG18" s="182">
        <f t="shared" si="8"/>
        <v>79.399999999999991</v>
      </c>
      <c r="AH18" s="152">
        <v>53.1</v>
      </c>
      <c r="AI18" s="182">
        <f t="shared" si="9"/>
        <v>132.5</v>
      </c>
      <c r="AJ18" s="152">
        <v>-117.4</v>
      </c>
      <c r="AK18" s="154">
        <v>15.1</v>
      </c>
      <c r="AL18" s="152">
        <v>-44.1</v>
      </c>
      <c r="AM18" s="152">
        <v>-21.2</v>
      </c>
      <c r="AN18" s="182">
        <f t="shared" si="13"/>
        <v>-65.3</v>
      </c>
      <c r="AO18" s="152">
        <v>17</v>
      </c>
      <c r="AP18" s="182">
        <f t="shared" si="11"/>
        <v>-48.3</v>
      </c>
      <c r="AQ18" s="152">
        <v>-14.4</v>
      </c>
      <c r="AR18" s="154">
        <v>-62.7</v>
      </c>
      <c r="AS18" s="363">
        <f>AS16+AS17</f>
        <v>40.199999999999996</v>
      </c>
      <c r="AT18" s="152">
        <f>AU18-AS18</f>
        <v>22.000000000000007</v>
      </c>
      <c r="AU18" s="182">
        <v>62.2</v>
      </c>
    </row>
    <row r="19" spans="1:47" x14ac:dyDescent="0.35">
      <c r="A19" s="102" t="s">
        <v>252</v>
      </c>
      <c r="B19" s="102" t="s">
        <v>190</v>
      </c>
      <c r="C19" s="27">
        <v>1.1000000000000001</v>
      </c>
      <c r="D19" s="27">
        <v>1.1000000000000001</v>
      </c>
      <c r="E19" s="183">
        <f t="shared" si="0"/>
        <v>2.2000000000000002</v>
      </c>
      <c r="F19" s="27">
        <v>0.3</v>
      </c>
      <c r="G19" s="183">
        <f t="shared" si="1"/>
        <v>2.5</v>
      </c>
      <c r="H19" s="27">
        <v>0.8</v>
      </c>
      <c r="I19" s="155">
        <v>3.3</v>
      </c>
      <c r="J19" s="27">
        <v>1</v>
      </c>
      <c r="K19" s="27">
        <v>0.7</v>
      </c>
      <c r="L19" s="183">
        <f t="shared" si="2"/>
        <v>1.7</v>
      </c>
      <c r="M19" s="27">
        <v>1.4</v>
      </c>
      <c r="N19" s="183">
        <f t="shared" si="3"/>
        <v>3.0999999999999996</v>
      </c>
      <c r="O19" s="27">
        <v>-1.1000000000000001</v>
      </c>
      <c r="P19" s="155">
        <v>2</v>
      </c>
      <c r="Q19" s="27">
        <v>2.9</v>
      </c>
      <c r="R19" s="27">
        <v>1</v>
      </c>
      <c r="S19" s="183">
        <f t="shared" si="4"/>
        <v>3.9</v>
      </c>
      <c r="T19" s="27">
        <v>1.4</v>
      </c>
      <c r="U19" s="183">
        <f t="shared" si="5"/>
        <v>5.3</v>
      </c>
      <c r="V19" s="27">
        <v>-2.7</v>
      </c>
      <c r="W19" s="155">
        <v>2.6</v>
      </c>
      <c r="X19" s="27">
        <v>3</v>
      </c>
      <c r="Y19" s="27">
        <v>1</v>
      </c>
      <c r="Z19" s="183">
        <f t="shared" si="6"/>
        <v>4</v>
      </c>
      <c r="AA19" s="27">
        <v>2.8</v>
      </c>
      <c r="AB19" s="183">
        <f t="shared" si="7"/>
        <v>6.8</v>
      </c>
      <c r="AC19" s="27">
        <v>1.9</v>
      </c>
      <c r="AD19" s="155">
        <v>8.6999999999999993</v>
      </c>
      <c r="AE19" s="27">
        <v>4.5</v>
      </c>
      <c r="AF19" s="27">
        <v>2</v>
      </c>
      <c r="AG19" s="183">
        <f t="shared" si="8"/>
        <v>6.5</v>
      </c>
      <c r="AH19" s="27">
        <v>3.3</v>
      </c>
      <c r="AI19" s="183">
        <f t="shared" si="9"/>
        <v>9.8000000000000007</v>
      </c>
      <c r="AJ19" s="27">
        <v>5.8</v>
      </c>
      <c r="AK19" s="155">
        <v>15.6</v>
      </c>
      <c r="AL19" s="27">
        <v>2.6</v>
      </c>
      <c r="AM19" s="27">
        <v>4.5</v>
      </c>
      <c r="AN19" s="183">
        <f t="shared" si="13"/>
        <v>7.1</v>
      </c>
      <c r="AO19" s="27">
        <v>4.0999999999999996</v>
      </c>
      <c r="AP19" s="183">
        <f t="shared" si="11"/>
        <v>11.2</v>
      </c>
      <c r="AQ19" s="27">
        <v>4.9000000000000004</v>
      </c>
      <c r="AR19" s="155">
        <v>16.100000000000001</v>
      </c>
      <c r="AS19" s="366">
        <v>7.8</v>
      </c>
      <c r="AT19" s="152">
        <f t="shared" ref="AT19:AT23" si="15">AU19-AS19</f>
        <v>7.3</v>
      </c>
      <c r="AU19" s="183">
        <v>15.1</v>
      </c>
    </row>
    <row r="20" spans="1:47" x14ac:dyDescent="0.35">
      <c r="A20" s="103" t="s">
        <v>191</v>
      </c>
      <c r="B20" s="103" t="s">
        <v>192</v>
      </c>
      <c r="C20" s="152">
        <v>50.2</v>
      </c>
      <c r="D20" s="152">
        <v>83.8</v>
      </c>
      <c r="E20" s="182">
        <f t="shared" si="0"/>
        <v>134</v>
      </c>
      <c r="F20" s="152">
        <v>35.700000000000003</v>
      </c>
      <c r="G20" s="182">
        <f t="shared" si="1"/>
        <v>169.7</v>
      </c>
      <c r="H20" s="152">
        <v>-31.8</v>
      </c>
      <c r="I20" s="154">
        <v>137.9</v>
      </c>
      <c r="J20" s="152">
        <v>71.7</v>
      </c>
      <c r="K20" s="152">
        <v>59.7</v>
      </c>
      <c r="L20" s="182">
        <f t="shared" si="2"/>
        <v>131.4</v>
      </c>
      <c r="M20" s="152">
        <v>81.5</v>
      </c>
      <c r="N20" s="182">
        <f t="shared" si="3"/>
        <v>212.9</v>
      </c>
      <c r="O20" s="152">
        <v>-56.6</v>
      </c>
      <c r="P20" s="154">
        <v>156.30000000000001</v>
      </c>
      <c r="Q20" s="152">
        <v>93.8</v>
      </c>
      <c r="R20" s="152">
        <v>88.8</v>
      </c>
      <c r="S20" s="182">
        <f t="shared" si="4"/>
        <v>182.6</v>
      </c>
      <c r="T20" s="152">
        <v>73.2</v>
      </c>
      <c r="U20" s="182">
        <f t="shared" si="5"/>
        <v>255.8</v>
      </c>
      <c r="V20" s="152">
        <v>72.3</v>
      </c>
      <c r="W20" s="154">
        <v>328.1</v>
      </c>
      <c r="X20" s="152">
        <v>74.2</v>
      </c>
      <c r="Y20" s="152">
        <v>86.5</v>
      </c>
      <c r="Z20" s="182">
        <f t="shared" si="6"/>
        <v>160.69999999999999</v>
      </c>
      <c r="AA20" s="152">
        <v>114.9</v>
      </c>
      <c r="AB20" s="182">
        <f t="shared" si="7"/>
        <v>275.60000000000002</v>
      </c>
      <c r="AC20" s="152">
        <v>133.19999999999999</v>
      </c>
      <c r="AD20" s="154">
        <v>408.8</v>
      </c>
      <c r="AE20" s="152">
        <v>110.3</v>
      </c>
      <c r="AF20" s="152">
        <v>212.1</v>
      </c>
      <c r="AG20" s="182">
        <f t="shared" si="8"/>
        <v>322.39999999999998</v>
      </c>
      <c r="AH20" s="152">
        <v>218.2</v>
      </c>
      <c r="AI20" s="182">
        <f t="shared" si="9"/>
        <v>540.59999999999991</v>
      </c>
      <c r="AJ20" s="152">
        <v>-119.8</v>
      </c>
      <c r="AK20" s="154">
        <v>420.8</v>
      </c>
      <c r="AL20" s="152">
        <v>97.8</v>
      </c>
      <c r="AM20" s="152">
        <v>93.4</v>
      </c>
      <c r="AN20" s="182">
        <f t="shared" si="13"/>
        <v>191.2</v>
      </c>
      <c r="AO20" s="152">
        <v>149.9</v>
      </c>
      <c r="AP20" s="182">
        <f t="shared" si="11"/>
        <v>341.1</v>
      </c>
      <c r="AQ20" s="152">
        <v>108</v>
      </c>
      <c r="AR20" s="154">
        <v>449.1</v>
      </c>
      <c r="AS20" s="363">
        <f>AS15+AS18+AS19</f>
        <v>211.69999999999996</v>
      </c>
      <c r="AT20" s="152">
        <f t="shared" si="15"/>
        <v>189.90000000000006</v>
      </c>
      <c r="AU20" s="182">
        <v>401.6</v>
      </c>
    </row>
    <row r="21" spans="1:47" x14ac:dyDescent="0.35">
      <c r="A21" s="102" t="s">
        <v>193</v>
      </c>
      <c r="B21" s="102" t="s">
        <v>194</v>
      </c>
      <c r="C21" s="27">
        <v>-1.2</v>
      </c>
      <c r="D21" s="27">
        <v>-2.5</v>
      </c>
      <c r="E21" s="183">
        <f t="shared" si="0"/>
        <v>-3.7</v>
      </c>
      <c r="F21" s="27">
        <v>-4.5999999999999996</v>
      </c>
      <c r="G21" s="183">
        <f t="shared" si="1"/>
        <v>-8.3000000000000007</v>
      </c>
      <c r="H21" s="27">
        <v>-3.3</v>
      </c>
      <c r="I21" s="155">
        <v>-11.6</v>
      </c>
      <c r="J21" s="27">
        <v>-0.3</v>
      </c>
      <c r="K21" s="27">
        <v>-1.2</v>
      </c>
      <c r="L21" s="183">
        <f t="shared" si="2"/>
        <v>-1.5</v>
      </c>
      <c r="M21" s="27">
        <v>-9.6999999999999993</v>
      </c>
      <c r="N21" s="183">
        <f t="shared" si="3"/>
        <v>-11.2</v>
      </c>
      <c r="O21" s="27">
        <v>18.2</v>
      </c>
      <c r="P21" s="155">
        <v>7</v>
      </c>
      <c r="Q21" s="27">
        <v>-4.7</v>
      </c>
      <c r="R21" s="27">
        <v>6.3</v>
      </c>
      <c r="S21" s="183">
        <f t="shared" si="4"/>
        <v>1.5999999999999996</v>
      </c>
      <c r="T21" s="27">
        <v>-5</v>
      </c>
      <c r="U21" s="183">
        <f t="shared" si="5"/>
        <v>-3.4000000000000004</v>
      </c>
      <c r="V21" s="27">
        <v>-9.4</v>
      </c>
      <c r="W21" s="155">
        <v>-12.8</v>
      </c>
      <c r="X21" s="27">
        <v>3.4</v>
      </c>
      <c r="Y21" s="27">
        <v>-2.1</v>
      </c>
      <c r="Z21" s="183">
        <f t="shared" si="6"/>
        <v>1.2999999999999998</v>
      </c>
      <c r="AA21" s="27">
        <v>-2.9</v>
      </c>
      <c r="AB21" s="183">
        <f t="shared" si="7"/>
        <v>-1.6</v>
      </c>
      <c r="AC21" s="27">
        <v>-0.8</v>
      </c>
      <c r="AD21" s="155">
        <v>-2.4</v>
      </c>
      <c r="AE21" s="27">
        <v>-3.8</v>
      </c>
      <c r="AF21" s="27">
        <v>-8.1</v>
      </c>
      <c r="AG21" s="183">
        <f t="shared" si="8"/>
        <v>-11.899999999999999</v>
      </c>
      <c r="AH21" s="27">
        <v>-7</v>
      </c>
      <c r="AI21" s="183">
        <f t="shared" si="9"/>
        <v>-18.899999999999999</v>
      </c>
      <c r="AJ21" s="27">
        <v>47.7</v>
      </c>
      <c r="AK21" s="155">
        <v>28.8</v>
      </c>
      <c r="AL21" s="27">
        <v>6.5</v>
      </c>
      <c r="AM21" s="27">
        <v>-6.8</v>
      </c>
      <c r="AN21" s="183">
        <f t="shared" si="13"/>
        <v>-0.29999999999999982</v>
      </c>
      <c r="AO21" s="27">
        <v>-2.2999999999999998</v>
      </c>
      <c r="AP21" s="183">
        <f t="shared" si="11"/>
        <v>-2.5999999999999996</v>
      </c>
      <c r="AQ21" s="27">
        <v>-10</v>
      </c>
      <c r="AR21" s="155">
        <v>-12.6</v>
      </c>
      <c r="AS21" s="366">
        <v>-29.7</v>
      </c>
      <c r="AT21" s="152">
        <f t="shared" si="15"/>
        <v>-5.8000000000000007</v>
      </c>
      <c r="AU21" s="183">
        <v>-35.5</v>
      </c>
    </row>
    <row r="22" spans="1:47" x14ac:dyDescent="0.35">
      <c r="A22" s="102" t="s">
        <v>195</v>
      </c>
      <c r="B22" s="102" t="s">
        <v>196</v>
      </c>
      <c r="C22" s="27">
        <v>-3.3</v>
      </c>
      <c r="D22" s="27">
        <v>-3.2</v>
      </c>
      <c r="E22" s="183">
        <f t="shared" si="0"/>
        <v>-6.5</v>
      </c>
      <c r="F22" s="27">
        <v>-3.8</v>
      </c>
      <c r="G22" s="183">
        <f t="shared" si="1"/>
        <v>-10.3</v>
      </c>
      <c r="H22" s="27">
        <v>-2.4</v>
      </c>
      <c r="I22" s="155">
        <v>-12.7</v>
      </c>
      <c r="J22" s="27">
        <v>-3.2</v>
      </c>
      <c r="K22" s="27">
        <v>-3.2</v>
      </c>
      <c r="L22" s="183">
        <f t="shared" si="2"/>
        <v>-6.4</v>
      </c>
      <c r="M22" s="27">
        <v>-3.2</v>
      </c>
      <c r="N22" s="183">
        <f t="shared" si="3"/>
        <v>-9.6000000000000014</v>
      </c>
      <c r="O22" s="27">
        <v>-4.8</v>
      </c>
      <c r="P22" s="155">
        <v>-14.4</v>
      </c>
      <c r="Q22" s="27">
        <v>-3.5</v>
      </c>
      <c r="R22" s="27">
        <v>-3.4</v>
      </c>
      <c r="S22" s="183">
        <f t="shared" si="4"/>
        <v>-6.9</v>
      </c>
      <c r="T22" s="27">
        <v>-3.3</v>
      </c>
      <c r="U22" s="183">
        <f t="shared" si="5"/>
        <v>-10.199999999999999</v>
      </c>
      <c r="V22" s="27">
        <v>-2.9</v>
      </c>
      <c r="W22" s="155">
        <v>-13.1</v>
      </c>
      <c r="X22" s="27">
        <v>-3.2</v>
      </c>
      <c r="Y22" s="27">
        <v>-3.3</v>
      </c>
      <c r="Z22" s="183">
        <f t="shared" si="6"/>
        <v>-6.5</v>
      </c>
      <c r="AA22" s="27">
        <v>-3.3</v>
      </c>
      <c r="AB22" s="183">
        <f t="shared" si="7"/>
        <v>-9.8000000000000007</v>
      </c>
      <c r="AC22" s="27">
        <v>-2.9</v>
      </c>
      <c r="AD22" s="155">
        <v>-12.7</v>
      </c>
      <c r="AE22" s="27">
        <v>-3.2</v>
      </c>
      <c r="AF22" s="27">
        <v>-3</v>
      </c>
      <c r="AG22" s="183">
        <f t="shared" si="8"/>
        <v>-6.2</v>
      </c>
      <c r="AH22" s="27">
        <v>-6.3</v>
      </c>
      <c r="AI22" s="183">
        <f t="shared" si="9"/>
        <v>-12.5</v>
      </c>
      <c r="AJ22" s="27">
        <v>-3.4</v>
      </c>
      <c r="AK22" s="155">
        <v>-15.9</v>
      </c>
      <c r="AL22" s="27">
        <v>-3.8</v>
      </c>
      <c r="AM22" s="27">
        <v>-5.9</v>
      </c>
      <c r="AN22" s="183">
        <f t="shared" si="13"/>
        <v>-9.6999999999999993</v>
      </c>
      <c r="AO22" s="27">
        <v>-4.7</v>
      </c>
      <c r="AP22" s="183">
        <f t="shared" si="11"/>
        <v>-14.399999999999999</v>
      </c>
      <c r="AQ22" s="27">
        <v>-1.5</v>
      </c>
      <c r="AR22" s="155">
        <v>-15.9</v>
      </c>
      <c r="AS22" s="366">
        <v>-5.6</v>
      </c>
      <c r="AT22" s="152">
        <f t="shared" si="15"/>
        <v>-4.5999999999999996</v>
      </c>
      <c r="AU22" s="183">
        <v>-10.199999999999999</v>
      </c>
    </row>
    <row r="23" spans="1:47" x14ac:dyDescent="0.35">
      <c r="A23" s="103" t="s">
        <v>197</v>
      </c>
      <c r="B23" s="103" t="s">
        <v>198</v>
      </c>
      <c r="C23" s="152">
        <v>45.7</v>
      </c>
      <c r="D23" s="152">
        <v>78.099999999999994</v>
      </c>
      <c r="E23" s="182">
        <f t="shared" si="0"/>
        <v>123.8</v>
      </c>
      <c r="F23" s="152">
        <v>27.3</v>
      </c>
      <c r="G23" s="182">
        <f t="shared" si="1"/>
        <v>151.1</v>
      </c>
      <c r="H23" s="152">
        <v>-37.5</v>
      </c>
      <c r="I23" s="154">
        <v>113.6</v>
      </c>
      <c r="J23" s="152">
        <v>68.2</v>
      </c>
      <c r="K23" s="152">
        <v>55.3</v>
      </c>
      <c r="L23" s="182">
        <f t="shared" si="2"/>
        <v>123.5</v>
      </c>
      <c r="M23" s="152">
        <v>68.599999999999994</v>
      </c>
      <c r="N23" s="182">
        <f t="shared" si="3"/>
        <v>192.1</v>
      </c>
      <c r="O23" s="152">
        <v>-43.2</v>
      </c>
      <c r="P23" s="154">
        <v>148.9</v>
      </c>
      <c r="Q23" s="152">
        <v>85.6</v>
      </c>
      <c r="R23" s="152">
        <v>91.7</v>
      </c>
      <c r="S23" s="182">
        <f t="shared" si="4"/>
        <v>177.3</v>
      </c>
      <c r="T23" s="152">
        <v>64.900000000000006</v>
      </c>
      <c r="U23" s="182">
        <f t="shared" si="5"/>
        <v>242.20000000000002</v>
      </c>
      <c r="V23" s="152">
        <v>60</v>
      </c>
      <c r="W23" s="154">
        <v>302.2</v>
      </c>
      <c r="X23" s="152">
        <v>74.400000000000006</v>
      </c>
      <c r="Y23" s="152">
        <v>81.099999999999994</v>
      </c>
      <c r="Z23" s="182">
        <f t="shared" si="6"/>
        <v>155.5</v>
      </c>
      <c r="AA23" s="152">
        <v>108.7</v>
      </c>
      <c r="AB23" s="182">
        <f t="shared" si="7"/>
        <v>264.2</v>
      </c>
      <c r="AC23" s="152">
        <v>129.5</v>
      </c>
      <c r="AD23" s="154">
        <v>393.7</v>
      </c>
      <c r="AE23" s="152">
        <v>103.3</v>
      </c>
      <c r="AF23" s="152">
        <v>201</v>
      </c>
      <c r="AG23" s="182">
        <f t="shared" si="8"/>
        <v>304.3</v>
      </c>
      <c r="AH23" s="152">
        <v>204.9</v>
      </c>
      <c r="AI23" s="182">
        <f t="shared" si="9"/>
        <v>509.20000000000005</v>
      </c>
      <c r="AJ23" s="152">
        <v>75.5</v>
      </c>
      <c r="AK23" s="154">
        <v>433.7</v>
      </c>
      <c r="AL23" s="152">
        <v>100.5</v>
      </c>
      <c r="AM23" s="152">
        <v>80.7</v>
      </c>
      <c r="AN23" s="182">
        <f t="shared" si="13"/>
        <v>181.2</v>
      </c>
      <c r="AO23" s="152">
        <v>142.9</v>
      </c>
      <c r="AP23" s="182">
        <f t="shared" si="11"/>
        <v>324.10000000000002</v>
      </c>
      <c r="AQ23" s="152">
        <v>96.5</v>
      </c>
      <c r="AR23" s="154">
        <v>420.6</v>
      </c>
      <c r="AS23" s="363">
        <f>AS20+AS21+AS22</f>
        <v>176.39999999999998</v>
      </c>
      <c r="AT23" s="152">
        <f t="shared" si="15"/>
        <v>179.5</v>
      </c>
      <c r="AU23" s="182">
        <v>355.9</v>
      </c>
    </row>
    <row r="24" spans="1:47" x14ac:dyDescent="0.35">
      <c r="A24" s="102" t="s">
        <v>199</v>
      </c>
      <c r="B24" s="102" t="s">
        <v>200</v>
      </c>
      <c r="C24" s="27"/>
      <c r="D24" s="27"/>
      <c r="E24" s="183"/>
      <c r="F24" s="27"/>
      <c r="G24" s="183"/>
      <c r="H24" s="27"/>
      <c r="I24" s="155"/>
      <c r="J24" s="27"/>
      <c r="K24" s="27"/>
      <c r="L24" s="183"/>
      <c r="M24" s="27"/>
      <c r="N24" s="183"/>
      <c r="O24" s="27"/>
      <c r="P24" s="155"/>
      <c r="Q24" s="27"/>
      <c r="R24" s="27"/>
      <c r="S24" s="183"/>
      <c r="T24" s="27"/>
      <c r="U24" s="183"/>
      <c r="V24" s="27"/>
      <c r="W24" s="155"/>
      <c r="X24" s="27"/>
      <c r="Y24" s="27"/>
      <c r="Z24" s="183"/>
      <c r="AA24" s="27"/>
      <c r="AB24" s="183"/>
      <c r="AC24" s="27"/>
      <c r="AD24" s="155"/>
      <c r="AE24" s="27"/>
      <c r="AF24" s="27"/>
      <c r="AG24" s="183"/>
      <c r="AH24" s="27"/>
      <c r="AI24" s="183"/>
      <c r="AJ24" s="27"/>
      <c r="AK24" s="155"/>
      <c r="AL24" s="27"/>
      <c r="AM24" s="27"/>
      <c r="AN24" s="183"/>
      <c r="AO24" s="27"/>
      <c r="AP24" s="183"/>
      <c r="AQ24" s="27"/>
      <c r="AR24" s="155"/>
      <c r="AS24" s="366"/>
      <c r="AT24" s="27"/>
      <c r="AU24" s="183"/>
    </row>
    <row r="25" spans="1:47" x14ac:dyDescent="0.35">
      <c r="A25" s="107" t="s">
        <v>201</v>
      </c>
      <c r="B25" s="107" t="s">
        <v>202</v>
      </c>
      <c r="C25" s="152">
        <v>46.6</v>
      </c>
      <c r="D25" s="152">
        <v>76.900000000000006</v>
      </c>
      <c r="E25" s="182">
        <f t="shared" si="0"/>
        <v>123.5</v>
      </c>
      <c r="F25" s="152">
        <v>26.5</v>
      </c>
      <c r="G25" s="182">
        <f t="shared" si="1"/>
        <v>150</v>
      </c>
      <c r="H25" s="152">
        <v>-39.1</v>
      </c>
      <c r="I25" s="154">
        <v>110.9</v>
      </c>
      <c r="J25" s="152">
        <v>69.3</v>
      </c>
      <c r="K25" s="152">
        <v>54</v>
      </c>
      <c r="L25" s="182">
        <v>123.4</v>
      </c>
      <c r="M25" s="152">
        <v>67.8</v>
      </c>
      <c r="N25" s="182">
        <f t="shared" si="3"/>
        <v>191.2</v>
      </c>
      <c r="O25" s="152">
        <v>-46.3</v>
      </c>
      <c r="P25" s="154">
        <v>144.9</v>
      </c>
      <c r="Q25" s="152">
        <v>85.3</v>
      </c>
      <c r="R25" s="152">
        <v>89.8</v>
      </c>
      <c r="S25" s="182">
        <f t="shared" si="4"/>
        <v>175.1</v>
      </c>
      <c r="T25" s="152">
        <v>63.6</v>
      </c>
      <c r="U25" s="182">
        <f t="shared" si="5"/>
        <v>238.7</v>
      </c>
      <c r="V25" s="152">
        <v>59.6</v>
      </c>
      <c r="W25" s="154">
        <v>298.3</v>
      </c>
      <c r="X25" s="152">
        <v>74.2</v>
      </c>
      <c r="Y25" s="152">
        <v>79.3</v>
      </c>
      <c r="Z25" s="182">
        <f t="shared" si="6"/>
        <v>153.5</v>
      </c>
      <c r="AA25" s="152">
        <v>107.9</v>
      </c>
      <c r="AB25" s="182">
        <f t="shared" si="7"/>
        <v>261.39999999999998</v>
      </c>
      <c r="AC25" s="152">
        <v>128</v>
      </c>
      <c r="AD25" s="154">
        <v>389.4</v>
      </c>
      <c r="AE25" s="152">
        <v>101</v>
      </c>
      <c r="AF25" s="152">
        <v>199.3</v>
      </c>
      <c r="AG25" s="182">
        <f t="shared" si="8"/>
        <v>300.3</v>
      </c>
      <c r="AH25" s="152">
        <v>205.7</v>
      </c>
      <c r="AI25" s="182">
        <f t="shared" si="9"/>
        <v>506</v>
      </c>
      <c r="AJ25" s="152">
        <v>76.5</v>
      </c>
      <c r="AK25" s="154">
        <v>429.5</v>
      </c>
      <c r="AL25" s="152">
        <v>100.9</v>
      </c>
      <c r="AM25" s="152">
        <v>77.400000000000006</v>
      </c>
      <c r="AN25" s="182">
        <f>SUM($AL25:$AM25)</f>
        <v>178.3</v>
      </c>
      <c r="AO25" s="152">
        <v>142.5</v>
      </c>
      <c r="AP25" s="182">
        <f t="shared" si="11"/>
        <v>320.8</v>
      </c>
      <c r="AQ25" s="152">
        <v>95.1</v>
      </c>
      <c r="AR25" s="154">
        <v>415.9</v>
      </c>
      <c r="AS25" s="363">
        <v>175.6</v>
      </c>
      <c r="AT25" s="152">
        <f>AU25-AS25</f>
        <v>178.79999999999998</v>
      </c>
      <c r="AU25" s="182">
        <v>354.4</v>
      </c>
    </row>
    <row r="26" spans="1:47" x14ac:dyDescent="0.35">
      <c r="A26" s="105" t="s">
        <v>203</v>
      </c>
      <c r="B26" s="105" t="s">
        <v>204</v>
      </c>
      <c r="C26" s="27">
        <v>-0.9</v>
      </c>
      <c r="D26" s="27">
        <v>1.2</v>
      </c>
      <c r="E26" s="183">
        <f t="shared" si="0"/>
        <v>0.29999999999999993</v>
      </c>
      <c r="F26" s="27">
        <v>0.8</v>
      </c>
      <c r="G26" s="183">
        <f t="shared" si="1"/>
        <v>1.1000000000000001</v>
      </c>
      <c r="H26" s="27">
        <v>1.6</v>
      </c>
      <c r="I26" s="155">
        <v>2.7</v>
      </c>
      <c r="J26" s="27">
        <v>-1.2</v>
      </c>
      <c r="K26" s="27">
        <v>1.3</v>
      </c>
      <c r="L26" s="183">
        <f t="shared" si="2"/>
        <v>0.10000000000000009</v>
      </c>
      <c r="M26" s="27">
        <v>0.8</v>
      </c>
      <c r="N26" s="183">
        <f t="shared" si="3"/>
        <v>0.90000000000000013</v>
      </c>
      <c r="O26" s="27">
        <v>3.1</v>
      </c>
      <c r="P26" s="155">
        <v>4</v>
      </c>
      <c r="Q26" s="27">
        <v>0.3</v>
      </c>
      <c r="R26" s="27">
        <v>1.9</v>
      </c>
      <c r="S26" s="183">
        <f t="shared" si="4"/>
        <v>2.1999999999999997</v>
      </c>
      <c r="T26" s="27">
        <v>1.3</v>
      </c>
      <c r="U26" s="183">
        <f t="shared" si="5"/>
        <v>3.5</v>
      </c>
      <c r="V26" s="27">
        <v>0.4</v>
      </c>
      <c r="W26" s="155">
        <v>3.9</v>
      </c>
      <c r="X26" s="27">
        <v>0.2</v>
      </c>
      <c r="Y26" s="27">
        <v>1.8</v>
      </c>
      <c r="Z26" s="183">
        <f t="shared" si="6"/>
        <v>2</v>
      </c>
      <c r="AA26" s="27">
        <v>0.8</v>
      </c>
      <c r="AB26" s="183">
        <f t="shared" si="7"/>
        <v>2.8</v>
      </c>
      <c r="AC26" s="27">
        <v>1.5</v>
      </c>
      <c r="AD26" s="155">
        <v>4.3</v>
      </c>
      <c r="AE26" s="27">
        <v>2.2999999999999998</v>
      </c>
      <c r="AF26" s="27">
        <v>1.7</v>
      </c>
      <c r="AG26" s="183">
        <f t="shared" si="8"/>
        <v>4</v>
      </c>
      <c r="AH26" s="27">
        <v>-0.8</v>
      </c>
      <c r="AI26" s="183">
        <f t="shared" si="9"/>
        <v>3.2</v>
      </c>
      <c r="AJ26" s="27">
        <v>1</v>
      </c>
      <c r="AK26" s="155">
        <v>4.2</v>
      </c>
      <c r="AL26" s="27">
        <v>-0.4</v>
      </c>
      <c r="AM26" s="27">
        <v>3.3</v>
      </c>
      <c r="AN26" s="183">
        <f>SUM($AL26:$AM26)</f>
        <v>2.9</v>
      </c>
      <c r="AO26" s="27">
        <v>0.4</v>
      </c>
      <c r="AP26" s="183">
        <f t="shared" si="11"/>
        <v>3.3</v>
      </c>
      <c r="AQ26" s="27">
        <v>1.4</v>
      </c>
      <c r="AR26" s="155">
        <v>4.7</v>
      </c>
      <c r="AS26" s="366">
        <f>AS23-AS25</f>
        <v>0.79999999999998295</v>
      </c>
      <c r="AT26" s="27">
        <f>AU26-AS26</f>
        <v>0.70000000000001705</v>
      </c>
      <c r="AU26" s="183">
        <v>1.5</v>
      </c>
    </row>
    <row r="27" spans="1:47" x14ac:dyDescent="0.35">
      <c r="A27" s="113"/>
      <c r="B27" s="113"/>
      <c r="C27" s="18"/>
      <c r="D27" s="18"/>
      <c r="E27" s="18"/>
      <c r="F27" s="18"/>
      <c r="G27" s="18"/>
      <c r="H27" s="18"/>
      <c r="I27" s="3"/>
      <c r="J27" s="18"/>
      <c r="K27" s="18"/>
      <c r="L27" s="18"/>
      <c r="M27" s="18"/>
      <c r="N27" s="18"/>
      <c r="O27" s="3"/>
      <c r="P27" s="3"/>
      <c r="Q27" s="18"/>
      <c r="R27" s="18"/>
      <c r="S27" s="18"/>
      <c r="T27" s="18"/>
      <c r="U27" s="18"/>
      <c r="V27" s="3"/>
      <c r="W27" s="3"/>
      <c r="X27" s="18"/>
      <c r="Y27" s="18"/>
      <c r="Z27" s="18"/>
      <c r="AA27" s="18"/>
      <c r="AB27" s="18"/>
      <c r="AC27" s="3"/>
      <c r="AD27" s="3"/>
      <c r="AE27" s="3"/>
      <c r="AF27" s="18"/>
      <c r="AG27" s="18"/>
      <c r="AH27" s="18"/>
      <c r="AI27" s="18"/>
      <c r="AJ27" s="3"/>
      <c r="AK27" s="3"/>
      <c r="AL27" s="18"/>
      <c r="AM27" s="18"/>
      <c r="AN27" s="18"/>
      <c r="AO27" s="18"/>
      <c r="AP27" s="18"/>
      <c r="AQ27" s="18"/>
      <c r="AR27" s="3"/>
      <c r="AS27" s="367"/>
      <c r="AT27" s="18"/>
      <c r="AU27" s="18"/>
    </row>
    <row r="28" spans="1:47" x14ac:dyDescent="0.35">
      <c r="A28" s="114" t="s">
        <v>205</v>
      </c>
      <c r="B28" s="114" t="s">
        <v>206</v>
      </c>
      <c r="C28" s="84" t="s">
        <v>253</v>
      </c>
      <c r="D28" s="84" t="s">
        <v>253</v>
      </c>
      <c r="E28" s="180" t="s">
        <v>253</v>
      </c>
      <c r="F28" s="84" t="s">
        <v>253</v>
      </c>
      <c r="G28" s="180" t="s">
        <v>253</v>
      </c>
      <c r="H28" s="84" t="s">
        <v>253</v>
      </c>
      <c r="I28" s="85" t="s">
        <v>253</v>
      </c>
      <c r="J28" s="84" t="s">
        <v>253</v>
      </c>
      <c r="K28" s="84" t="s">
        <v>253</v>
      </c>
      <c r="L28" s="180" t="s">
        <v>253</v>
      </c>
      <c r="M28" s="84" t="s">
        <v>253</v>
      </c>
      <c r="N28" s="180" t="s">
        <v>253</v>
      </c>
      <c r="O28" s="84" t="s">
        <v>253</v>
      </c>
      <c r="P28" s="85" t="s">
        <v>253</v>
      </c>
      <c r="Q28" s="84" t="s">
        <v>253</v>
      </c>
      <c r="R28" s="84" t="s">
        <v>253</v>
      </c>
      <c r="S28" s="180" t="s">
        <v>253</v>
      </c>
      <c r="T28" s="84" t="s">
        <v>253</v>
      </c>
      <c r="U28" s="180" t="s">
        <v>253</v>
      </c>
      <c r="V28" s="84" t="s">
        <v>253</v>
      </c>
      <c r="W28" s="85" t="s">
        <v>253</v>
      </c>
      <c r="X28" s="84" t="s">
        <v>253</v>
      </c>
      <c r="Y28" s="84" t="s">
        <v>253</v>
      </c>
      <c r="Z28" s="180" t="s">
        <v>253</v>
      </c>
      <c r="AA28" s="84" t="s">
        <v>253</v>
      </c>
      <c r="AB28" s="180" t="s">
        <v>253</v>
      </c>
      <c r="AC28" s="84" t="s">
        <v>253</v>
      </c>
      <c r="AD28" s="85" t="s">
        <v>253</v>
      </c>
      <c r="AE28" s="84" t="s">
        <v>253</v>
      </c>
      <c r="AF28" s="84" t="s">
        <v>253</v>
      </c>
      <c r="AG28" s="180" t="s">
        <v>253</v>
      </c>
      <c r="AH28" s="84" t="s">
        <v>253</v>
      </c>
      <c r="AI28" s="180" t="s">
        <v>253</v>
      </c>
      <c r="AJ28" s="84" t="s">
        <v>253</v>
      </c>
      <c r="AK28" s="85" t="s">
        <v>253</v>
      </c>
      <c r="AL28" s="84" t="s">
        <v>253</v>
      </c>
      <c r="AM28" s="84" t="s">
        <v>253</v>
      </c>
      <c r="AN28" s="180" t="s">
        <v>253</v>
      </c>
      <c r="AO28" s="84" t="s">
        <v>253</v>
      </c>
      <c r="AP28" s="180" t="s">
        <v>253</v>
      </c>
      <c r="AQ28" s="84" t="s">
        <v>253</v>
      </c>
      <c r="AR28" s="85" t="s">
        <v>253</v>
      </c>
      <c r="AS28" s="84" t="s">
        <v>253</v>
      </c>
      <c r="AT28" s="84" t="s">
        <v>253</v>
      </c>
      <c r="AU28" s="180" t="s">
        <v>253</v>
      </c>
    </row>
    <row r="29" spans="1:47" x14ac:dyDescent="0.35">
      <c r="A29" s="105" t="s">
        <v>208</v>
      </c>
      <c r="B29" s="105" t="s">
        <v>209</v>
      </c>
      <c r="C29" s="151">
        <v>0.25</v>
      </c>
      <c r="D29" s="151">
        <v>0.41</v>
      </c>
      <c r="E29" s="181">
        <v>0.66</v>
      </c>
      <c r="F29" s="151">
        <v>0.14000000000000001</v>
      </c>
      <c r="G29" s="181">
        <v>0.81</v>
      </c>
      <c r="H29" s="30">
        <v>-0.21</v>
      </c>
      <c r="I29" s="156">
        <v>0.6</v>
      </c>
      <c r="J29" s="151">
        <v>0.37</v>
      </c>
      <c r="K29" s="151">
        <v>0.28999999999999998</v>
      </c>
      <c r="L29" s="181">
        <v>0.66</v>
      </c>
      <c r="M29" s="151">
        <v>0.36</v>
      </c>
      <c r="N29" s="181">
        <v>1.03</v>
      </c>
      <c r="O29" s="30">
        <v>-0.25</v>
      </c>
      <c r="P29" s="156">
        <v>0.78</v>
      </c>
      <c r="Q29" s="151">
        <v>0.46</v>
      </c>
      <c r="R29" s="151">
        <v>0.48</v>
      </c>
      <c r="S29" s="181">
        <v>0.94</v>
      </c>
      <c r="T29" s="151">
        <v>0.34</v>
      </c>
      <c r="U29" s="181">
        <v>1.28</v>
      </c>
      <c r="V29" s="151">
        <v>0.32</v>
      </c>
      <c r="W29" s="156">
        <v>1.6</v>
      </c>
      <c r="X29" s="151">
        <v>0.4</v>
      </c>
      <c r="Y29" s="151">
        <v>0.43</v>
      </c>
      <c r="Z29" s="181">
        <v>0.83</v>
      </c>
      <c r="AA29" s="151">
        <v>0.57999999999999996</v>
      </c>
      <c r="AB29" s="181">
        <v>1.41</v>
      </c>
      <c r="AC29" s="151">
        <v>0.69</v>
      </c>
      <c r="AD29" s="156">
        <v>2.09</v>
      </c>
      <c r="AE29" s="151">
        <v>0.54</v>
      </c>
      <c r="AF29" s="151">
        <v>1.07</v>
      </c>
      <c r="AG29" s="181">
        <v>1.61</v>
      </c>
      <c r="AH29" s="151">
        <v>1.1000000000000001</v>
      </c>
      <c r="AI29" s="181">
        <v>2.72</v>
      </c>
      <c r="AJ29" s="30">
        <v>-0.42</v>
      </c>
      <c r="AK29" s="156">
        <v>2.2999999999999998</v>
      </c>
      <c r="AL29" s="151">
        <v>0.54</v>
      </c>
      <c r="AM29" s="151">
        <v>0.42</v>
      </c>
      <c r="AN29" s="181">
        <v>0.96</v>
      </c>
      <c r="AO29" s="151">
        <v>0.77</v>
      </c>
      <c r="AP29" s="181">
        <v>1.73</v>
      </c>
      <c r="AQ29" s="151">
        <v>0.52</v>
      </c>
      <c r="AR29" s="156">
        <v>2.25</v>
      </c>
      <c r="AS29" s="151">
        <v>0.96</v>
      </c>
      <c r="AT29" s="151">
        <f>AU29-AS29</f>
        <v>0.98</v>
      </c>
      <c r="AU29" s="181">
        <v>1.94</v>
      </c>
    </row>
    <row r="30" spans="1:47" x14ac:dyDescent="0.35">
      <c r="A30" s="105" t="s">
        <v>210</v>
      </c>
      <c r="B30" s="105" t="s">
        <v>211</v>
      </c>
      <c r="C30" s="151">
        <v>0.25</v>
      </c>
      <c r="D30" s="151">
        <v>0.41</v>
      </c>
      <c r="E30" s="181">
        <v>0.66</v>
      </c>
      <c r="F30" s="151">
        <v>0.14000000000000001</v>
      </c>
      <c r="G30" s="181">
        <v>0.81</v>
      </c>
      <c r="H30" s="30">
        <v>-0.21</v>
      </c>
      <c r="I30" s="156">
        <v>0.6</v>
      </c>
      <c r="J30" s="151">
        <v>0.37</v>
      </c>
      <c r="K30" s="151">
        <v>0.28999999999999998</v>
      </c>
      <c r="L30" s="181">
        <v>0.66</v>
      </c>
      <c r="M30" s="151">
        <v>0.36</v>
      </c>
      <c r="N30" s="181">
        <v>1.03</v>
      </c>
      <c r="O30" s="30">
        <v>-0.25</v>
      </c>
      <c r="P30" s="156">
        <v>0.78</v>
      </c>
      <c r="Q30" s="151">
        <v>0.46</v>
      </c>
      <c r="R30" s="151">
        <v>0.48</v>
      </c>
      <c r="S30" s="181">
        <v>0.94</v>
      </c>
      <c r="T30" s="151">
        <v>0.34</v>
      </c>
      <c r="U30" s="181">
        <v>1.28</v>
      </c>
      <c r="V30" s="151">
        <v>0.32</v>
      </c>
      <c r="W30" s="156">
        <v>1.6</v>
      </c>
      <c r="X30" s="151">
        <v>0.4</v>
      </c>
      <c r="Y30" s="151">
        <v>0.43</v>
      </c>
      <c r="Z30" s="181">
        <v>0.83</v>
      </c>
      <c r="AA30" s="151">
        <v>0.57999999999999996</v>
      </c>
      <c r="AB30" s="181">
        <v>1.41</v>
      </c>
      <c r="AC30" s="151">
        <v>0.69</v>
      </c>
      <c r="AD30" s="156">
        <v>2.09</v>
      </c>
      <c r="AE30" s="151">
        <v>0.54</v>
      </c>
      <c r="AF30" s="151">
        <v>1.07</v>
      </c>
      <c r="AG30" s="181">
        <v>1.61</v>
      </c>
      <c r="AH30" s="151">
        <v>1.1000000000000001</v>
      </c>
      <c r="AI30" s="181">
        <v>2.72</v>
      </c>
      <c r="AJ30" s="30">
        <v>-0.42</v>
      </c>
      <c r="AK30" s="156">
        <v>2.2999999999999998</v>
      </c>
      <c r="AL30" s="151">
        <v>0.54</v>
      </c>
      <c r="AM30" s="151">
        <v>0.42</v>
      </c>
      <c r="AN30" s="181">
        <v>0.96</v>
      </c>
      <c r="AO30" s="151">
        <v>0.77</v>
      </c>
      <c r="AP30" s="181">
        <v>1.73</v>
      </c>
      <c r="AQ30" s="151">
        <v>0.52</v>
      </c>
      <c r="AR30" s="156">
        <v>2.25</v>
      </c>
      <c r="AS30" s="151">
        <v>0.96</v>
      </c>
      <c r="AT30" s="151">
        <f>AU30-AS30</f>
        <v>0.98</v>
      </c>
      <c r="AU30" s="181">
        <v>1.94</v>
      </c>
    </row>
    <row r="31" spans="1:47" x14ac:dyDescent="0.35">
      <c r="A31" s="105"/>
      <c r="B31" s="105"/>
      <c r="C31" s="151"/>
      <c r="D31" s="151"/>
      <c r="E31" s="151"/>
      <c r="F31" s="151"/>
      <c r="G31" s="151"/>
      <c r="H31" s="30"/>
      <c r="I31" s="265"/>
      <c r="J31" s="151"/>
      <c r="K31" s="151"/>
      <c r="L31" s="151"/>
      <c r="M31" s="151"/>
      <c r="N31" s="151"/>
      <c r="O31" s="30"/>
      <c r="P31" s="265"/>
      <c r="Q31" s="151"/>
      <c r="R31" s="151"/>
      <c r="S31" s="151"/>
      <c r="T31" s="151"/>
      <c r="U31" s="151"/>
      <c r="V31" s="151"/>
      <c r="W31" s="265"/>
      <c r="X31" s="151"/>
      <c r="Y31" s="151"/>
      <c r="Z31" s="151"/>
      <c r="AA31" s="151"/>
      <c r="AB31" s="151"/>
      <c r="AC31" s="151"/>
      <c r="AD31" s="265"/>
      <c r="AE31" s="151"/>
      <c r="AF31" s="151"/>
      <c r="AG31" s="151"/>
      <c r="AH31" s="151"/>
      <c r="AI31" s="151"/>
      <c r="AJ31" s="151"/>
      <c r="AK31" s="265"/>
      <c r="AL31" s="151"/>
      <c r="AM31" s="151"/>
      <c r="AN31" s="151"/>
      <c r="AO31" s="151"/>
      <c r="AP31" s="151"/>
      <c r="AQ31" s="151"/>
      <c r="AR31" s="265"/>
      <c r="AS31" s="265"/>
      <c r="AT31" s="151"/>
      <c r="AU31" s="151"/>
    </row>
    <row r="32" spans="1:47" x14ac:dyDescent="0.35">
      <c r="A32" s="249" t="s">
        <v>220</v>
      </c>
      <c r="B32" s="249" t="s">
        <v>221</v>
      </c>
      <c r="C32" s="18"/>
      <c r="D32" s="18"/>
      <c r="E32" s="18"/>
      <c r="F32" s="18"/>
      <c r="G32" s="18"/>
      <c r="H32" s="27"/>
      <c r="I32" s="3"/>
      <c r="J32" s="18"/>
      <c r="K32" s="18"/>
      <c r="L32" s="18"/>
      <c r="M32" s="18"/>
      <c r="N32" s="18"/>
      <c r="O32" s="3"/>
      <c r="P32" s="3"/>
      <c r="Q32" s="18"/>
      <c r="R32" s="18"/>
      <c r="S32" s="18"/>
      <c r="T32" s="18"/>
      <c r="U32" s="18"/>
      <c r="V32" s="3"/>
      <c r="W32" s="3"/>
      <c r="X32" s="18"/>
      <c r="Y32" s="18"/>
      <c r="Z32" s="18"/>
      <c r="AA32" s="18"/>
      <c r="AB32" s="18"/>
      <c r="AC32" s="3"/>
      <c r="AD32" s="3"/>
      <c r="AE32" s="18"/>
      <c r="AF32" s="18"/>
      <c r="AG32" s="18"/>
      <c r="AH32" s="18"/>
      <c r="AI32" s="18"/>
      <c r="AJ32" s="3"/>
      <c r="AK32" s="82"/>
      <c r="AL32" s="18"/>
      <c r="AM32" s="18"/>
      <c r="AN32" s="18"/>
      <c r="AO32" s="18"/>
      <c r="AP32" s="18"/>
      <c r="AQ32" s="18"/>
      <c r="AR32" s="18"/>
      <c r="AS32" s="18"/>
      <c r="AT32" s="18"/>
      <c r="AU32" s="352"/>
    </row>
    <row r="33" spans="1:48" ht="15" thickBot="1" x14ac:dyDescent="0.4">
      <c r="AA33" s="353"/>
      <c r="AB33" s="353"/>
      <c r="AU33" s="353"/>
    </row>
    <row r="34" spans="1:48" ht="15" thickBot="1" x14ac:dyDescent="0.4">
      <c r="A34" s="477" t="s">
        <v>222</v>
      </c>
      <c r="B34" s="481" t="s">
        <v>223</v>
      </c>
      <c r="C34" s="1" t="s">
        <v>37</v>
      </c>
      <c r="D34" s="1"/>
      <c r="E34" s="1" t="s">
        <v>145</v>
      </c>
      <c r="F34" s="1"/>
      <c r="G34" s="1" t="s">
        <v>146</v>
      </c>
      <c r="H34" s="1"/>
      <c r="I34" s="1">
        <v>2018</v>
      </c>
      <c r="J34" s="1" t="s">
        <v>41</v>
      </c>
      <c r="K34" s="1"/>
      <c r="L34" s="1" t="s">
        <v>147</v>
      </c>
      <c r="M34" s="1"/>
      <c r="N34" s="1" t="s">
        <v>148</v>
      </c>
      <c r="O34" s="1"/>
      <c r="P34" s="1">
        <v>2019</v>
      </c>
      <c r="Q34" s="1" t="s">
        <v>45</v>
      </c>
      <c r="R34" s="1"/>
      <c r="S34" s="1" t="s">
        <v>224</v>
      </c>
      <c r="T34" s="1"/>
      <c r="U34" s="1" t="s">
        <v>225</v>
      </c>
      <c r="V34" s="1"/>
      <c r="W34" s="1">
        <v>2020</v>
      </c>
      <c r="X34" s="1" t="s">
        <v>49</v>
      </c>
      <c r="Y34" s="1"/>
      <c r="Z34" s="1" t="s">
        <v>153</v>
      </c>
      <c r="AA34" s="1"/>
      <c r="AB34" s="1" t="s">
        <v>154</v>
      </c>
      <c r="AC34" s="1"/>
      <c r="AD34" s="1">
        <v>2021</v>
      </c>
      <c r="AE34" s="1" t="s">
        <v>53</v>
      </c>
      <c r="AF34" s="1"/>
      <c r="AG34" s="1" t="s">
        <v>155</v>
      </c>
      <c r="AH34" s="1"/>
      <c r="AI34" s="1" t="s">
        <v>156</v>
      </c>
      <c r="AJ34" s="1"/>
      <c r="AK34" s="1">
        <v>2022</v>
      </c>
      <c r="AL34" s="1" t="s">
        <v>57</v>
      </c>
      <c r="AM34" s="1"/>
      <c r="AN34" s="1" t="s">
        <v>159</v>
      </c>
      <c r="AO34" s="1"/>
      <c r="AP34" s="1" t="s">
        <v>160</v>
      </c>
      <c r="AQ34" s="1"/>
      <c r="AR34" s="1">
        <v>2023</v>
      </c>
      <c r="AS34" s="373" t="s">
        <v>61</v>
      </c>
      <c r="AT34" s="1"/>
      <c r="AU34" s="1" t="s">
        <v>1167</v>
      </c>
    </row>
    <row r="35" spans="1:48" ht="15" thickTop="1" x14ac:dyDescent="0.35">
      <c r="A35" s="478"/>
      <c r="B35" s="482"/>
      <c r="C35" s="2" t="s">
        <v>251</v>
      </c>
      <c r="D35" s="2"/>
      <c r="E35" s="2" t="s">
        <v>251</v>
      </c>
      <c r="F35" s="2"/>
      <c r="G35" s="2" t="s">
        <v>251</v>
      </c>
      <c r="H35" s="2"/>
      <c r="I35" s="2" t="s">
        <v>251</v>
      </c>
      <c r="J35" s="2" t="s">
        <v>251</v>
      </c>
      <c r="K35" s="2"/>
      <c r="L35" s="2" t="s">
        <v>251</v>
      </c>
      <c r="M35" s="2"/>
      <c r="N35" s="2" t="s">
        <v>251</v>
      </c>
      <c r="O35" s="2"/>
      <c r="P35" s="2" t="s">
        <v>251</v>
      </c>
      <c r="Q35" s="2" t="s">
        <v>251</v>
      </c>
      <c r="R35" s="2"/>
      <c r="S35" s="2" t="s">
        <v>251</v>
      </c>
      <c r="T35" s="2"/>
      <c r="U35" s="2" t="s">
        <v>251</v>
      </c>
      <c r="V35" s="2"/>
      <c r="W35" s="2" t="s">
        <v>251</v>
      </c>
      <c r="X35" s="2" t="s">
        <v>251</v>
      </c>
      <c r="Y35" s="2"/>
      <c r="Z35" s="2" t="s">
        <v>251</v>
      </c>
      <c r="AA35" s="2"/>
      <c r="AB35" s="2" t="s">
        <v>251</v>
      </c>
      <c r="AC35" s="2"/>
      <c r="AD35" s="2" t="s">
        <v>251</v>
      </c>
      <c r="AE35" s="2" t="s">
        <v>251</v>
      </c>
      <c r="AF35" s="2"/>
      <c r="AG35" s="2" t="s">
        <v>251</v>
      </c>
      <c r="AH35" s="2"/>
      <c r="AI35" s="2" t="s">
        <v>251</v>
      </c>
      <c r="AJ35" s="2"/>
      <c r="AK35" s="2" t="s">
        <v>251</v>
      </c>
      <c r="AL35" s="2" t="s">
        <v>251</v>
      </c>
      <c r="AM35" s="2"/>
      <c r="AN35" s="2" t="s">
        <v>251</v>
      </c>
      <c r="AO35" s="2"/>
      <c r="AP35" s="2" t="s">
        <v>251</v>
      </c>
      <c r="AQ35" s="2"/>
      <c r="AR35" s="2" t="s">
        <v>251</v>
      </c>
      <c r="AS35" s="2" t="s">
        <v>251</v>
      </c>
      <c r="AT35" s="2"/>
      <c r="AU35" s="2" t="s">
        <v>251</v>
      </c>
    </row>
    <row r="36" spans="1:48" s="31" customFormat="1" x14ac:dyDescent="0.35">
      <c r="A36" s="103" t="s">
        <v>197</v>
      </c>
      <c r="B36" s="103" t="s">
        <v>198</v>
      </c>
      <c r="C36" s="152">
        <v>45.7</v>
      </c>
      <c r="D36" s="152"/>
      <c r="E36" s="385">
        <v>123.8</v>
      </c>
      <c r="F36" s="152"/>
      <c r="G36" s="385">
        <v>151.1</v>
      </c>
      <c r="H36" s="152"/>
      <c r="I36" s="154">
        <v>113.6</v>
      </c>
      <c r="J36" s="152">
        <v>68.2</v>
      </c>
      <c r="K36" s="152"/>
      <c r="L36" s="385">
        <v>123.5</v>
      </c>
      <c r="M36" s="152"/>
      <c r="N36" s="385">
        <v>192.1</v>
      </c>
      <c r="O36" s="152"/>
      <c r="P36" s="154">
        <v>148.9</v>
      </c>
      <c r="Q36" s="152">
        <v>85.6</v>
      </c>
      <c r="R36" s="152"/>
      <c r="S36" s="385">
        <v>177.3</v>
      </c>
      <c r="T36" s="152"/>
      <c r="U36" s="385">
        <v>242.2</v>
      </c>
      <c r="V36" s="152"/>
      <c r="W36" s="154">
        <v>302.2</v>
      </c>
      <c r="X36" s="152">
        <v>74.400000000000006</v>
      </c>
      <c r="Y36" s="152"/>
      <c r="Z36" s="385">
        <v>155.5</v>
      </c>
      <c r="AA36" s="152"/>
      <c r="AB36" s="385">
        <v>264.2</v>
      </c>
      <c r="AC36" s="152"/>
      <c r="AD36" s="154">
        <v>393.7</v>
      </c>
      <c r="AE36" s="152">
        <v>103.3</v>
      </c>
      <c r="AF36" s="152"/>
      <c r="AG36" s="385">
        <v>304.3</v>
      </c>
      <c r="AH36" s="152"/>
      <c r="AI36" s="385">
        <v>509.2</v>
      </c>
      <c r="AJ36" s="152"/>
      <c r="AK36" s="154">
        <v>433.7</v>
      </c>
      <c r="AL36" s="152">
        <v>100.5</v>
      </c>
      <c r="AM36" s="152"/>
      <c r="AN36" s="385">
        <v>181.2</v>
      </c>
      <c r="AO36" s="152"/>
      <c r="AP36" s="385">
        <v>324.10000000000002</v>
      </c>
      <c r="AQ36" s="152"/>
      <c r="AR36" s="154">
        <v>420.6</v>
      </c>
      <c r="AS36" s="363">
        <v>176.4</v>
      </c>
      <c r="AT36" s="152"/>
      <c r="AU36" s="385">
        <f>AU23</f>
        <v>355.9</v>
      </c>
    </row>
    <row r="37" spans="1:48" x14ac:dyDescent="0.35">
      <c r="A37" s="105" t="s">
        <v>226</v>
      </c>
      <c r="B37" s="106" t="s">
        <v>227</v>
      </c>
      <c r="C37" s="27" t="s">
        <v>178</v>
      </c>
      <c r="D37" s="27"/>
      <c r="E37" s="386" t="s">
        <v>178</v>
      </c>
      <c r="F37" s="27"/>
      <c r="G37" s="386" t="s">
        <v>178</v>
      </c>
      <c r="H37" s="27"/>
      <c r="I37" s="155">
        <v>-1.1000000000000001</v>
      </c>
      <c r="J37" s="27" t="s">
        <v>178</v>
      </c>
      <c r="K37" s="27"/>
      <c r="L37" s="386" t="s">
        <v>178</v>
      </c>
      <c r="M37" s="27"/>
      <c r="N37" s="386" t="s">
        <v>178</v>
      </c>
      <c r="O37" s="27"/>
      <c r="P37" s="155">
        <v>-2</v>
      </c>
      <c r="Q37" s="27" t="s">
        <v>178</v>
      </c>
      <c r="R37" s="27"/>
      <c r="S37" s="386" t="s">
        <v>178</v>
      </c>
      <c r="T37" s="27"/>
      <c r="U37" s="386">
        <v>-2.1</v>
      </c>
      <c r="V37" s="27"/>
      <c r="W37" s="155">
        <v>-4.8</v>
      </c>
      <c r="X37" s="27" t="s">
        <v>178</v>
      </c>
      <c r="Y37" s="27"/>
      <c r="Z37" s="386" t="s">
        <v>178</v>
      </c>
      <c r="AA37" s="27"/>
      <c r="AB37" s="386" t="s">
        <v>178</v>
      </c>
      <c r="AC37" s="27"/>
      <c r="AD37" s="155">
        <v>1.8</v>
      </c>
      <c r="AE37" s="27" t="s">
        <v>178</v>
      </c>
      <c r="AF37" s="27"/>
      <c r="AG37" s="386" t="s">
        <v>178</v>
      </c>
      <c r="AH37" s="27"/>
      <c r="AI37" s="386">
        <v>1</v>
      </c>
      <c r="AJ37" s="27"/>
      <c r="AK37" s="155">
        <v>2.9</v>
      </c>
      <c r="AL37" s="27" t="s">
        <v>178</v>
      </c>
      <c r="AM37" s="27"/>
      <c r="AN37" s="386" t="s">
        <v>178</v>
      </c>
      <c r="AO37" s="27"/>
      <c r="AP37" s="386">
        <v>-0.8</v>
      </c>
      <c r="AQ37" s="27"/>
      <c r="AR37" s="155">
        <v>-1.7</v>
      </c>
      <c r="AS37" s="366">
        <v>0</v>
      </c>
      <c r="AT37" s="27"/>
      <c r="AU37" s="386">
        <v>0.5</v>
      </c>
    </row>
    <row r="38" spans="1:48" x14ac:dyDescent="0.35">
      <c r="A38" s="105" t="s">
        <v>228</v>
      </c>
      <c r="B38" s="106" t="s">
        <v>229</v>
      </c>
      <c r="C38" s="27">
        <v>-4.8</v>
      </c>
      <c r="D38" s="27"/>
      <c r="E38" s="386">
        <v>-11.6</v>
      </c>
      <c r="F38" s="27"/>
      <c r="G38" s="386">
        <v>-15.1</v>
      </c>
      <c r="H38" s="27"/>
      <c r="I38" s="155">
        <v>-16.2</v>
      </c>
      <c r="J38" s="27">
        <v>5.2</v>
      </c>
      <c r="K38" s="27"/>
      <c r="L38" s="386">
        <v>6.8</v>
      </c>
      <c r="M38" s="27"/>
      <c r="N38" s="386">
        <v>10.5</v>
      </c>
      <c r="O38" s="27"/>
      <c r="P38" s="155">
        <v>11.7</v>
      </c>
      <c r="Q38" s="27">
        <v>-2.2999999999999998</v>
      </c>
      <c r="R38" s="27"/>
      <c r="S38" s="386">
        <v>-3.2</v>
      </c>
      <c r="T38" s="27"/>
      <c r="U38" s="386">
        <v>-3</v>
      </c>
      <c r="V38" s="27"/>
      <c r="W38" s="155">
        <v>-3.1</v>
      </c>
      <c r="X38" s="27">
        <v>-0.6</v>
      </c>
      <c r="Y38" s="27"/>
      <c r="Z38" s="386">
        <v>3</v>
      </c>
      <c r="AA38" s="27"/>
      <c r="AB38" s="386">
        <v>6.5</v>
      </c>
      <c r="AC38" s="27"/>
      <c r="AD38" s="155">
        <v>6</v>
      </c>
      <c r="AE38" s="27">
        <v>-3.6</v>
      </c>
      <c r="AF38" s="27"/>
      <c r="AG38" s="386">
        <v>-7.8</v>
      </c>
      <c r="AH38" s="27"/>
      <c r="AI38" s="386">
        <v>-6.1</v>
      </c>
      <c r="AJ38" s="27"/>
      <c r="AK38" s="155">
        <v>3.1</v>
      </c>
      <c r="AL38" s="27">
        <v>-6.4</v>
      </c>
      <c r="AM38" s="27"/>
      <c r="AN38" s="386">
        <v>-7.2</v>
      </c>
      <c r="AO38" s="27"/>
      <c r="AP38" s="386">
        <v>2.9</v>
      </c>
      <c r="AQ38" s="27"/>
      <c r="AR38" s="155">
        <v>5.7</v>
      </c>
      <c r="AS38" s="366">
        <v>-2.4</v>
      </c>
      <c r="AT38" s="27"/>
      <c r="AU38" s="386">
        <v>4.4000000000000004</v>
      </c>
    </row>
    <row r="39" spans="1:48" s="31" customFormat="1" x14ac:dyDescent="0.35">
      <c r="A39" s="103" t="s">
        <v>230</v>
      </c>
      <c r="B39" s="92" t="s">
        <v>231</v>
      </c>
      <c r="C39" s="152">
        <v>-4.8</v>
      </c>
      <c r="D39" s="152"/>
      <c r="E39" s="385">
        <v>-11.6</v>
      </c>
      <c r="F39" s="152"/>
      <c r="G39" s="385">
        <v>-15.1</v>
      </c>
      <c r="H39" s="152"/>
      <c r="I39" s="154">
        <v>-17.3</v>
      </c>
      <c r="J39" s="152">
        <v>5.2</v>
      </c>
      <c r="K39" s="152"/>
      <c r="L39" s="385">
        <v>6.8</v>
      </c>
      <c r="M39" s="152"/>
      <c r="N39" s="385">
        <v>10.5</v>
      </c>
      <c r="O39" s="152"/>
      <c r="P39" s="154">
        <v>9.6999999999999993</v>
      </c>
      <c r="Q39" s="152">
        <v>-2.2999999999999998</v>
      </c>
      <c r="R39" s="152"/>
      <c r="S39" s="385">
        <v>-3.2</v>
      </c>
      <c r="T39" s="152"/>
      <c r="U39" s="385">
        <v>-5.0999999999999996</v>
      </c>
      <c r="V39" s="152"/>
      <c r="W39" s="154">
        <v>-7.9</v>
      </c>
      <c r="X39" s="152">
        <v>-0.6</v>
      </c>
      <c r="Y39" s="152"/>
      <c r="Z39" s="385">
        <v>3</v>
      </c>
      <c r="AA39" s="152"/>
      <c r="AB39" s="385">
        <v>6.5</v>
      </c>
      <c r="AC39" s="152"/>
      <c r="AD39" s="154">
        <v>7.8</v>
      </c>
      <c r="AE39" s="152">
        <v>-3.6</v>
      </c>
      <c r="AF39" s="152"/>
      <c r="AG39" s="385">
        <v>-7.8</v>
      </c>
      <c r="AH39" s="152"/>
      <c r="AI39" s="385">
        <v>-5.0999999999999996</v>
      </c>
      <c r="AJ39" s="152"/>
      <c r="AK39" s="154">
        <v>6</v>
      </c>
      <c r="AL39" s="152">
        <v>-6.4</v>
      </c>
      <c r="AM39" s="152"/>
      <c r="AN39" s="385">
        <v>-7.2</v>
      </c>
      <c r="AO39" s="152"/>
      <c r="AP39" s="385">
        <v>2.1</v>
      </c>
      <c r="AQ39" s="152"/>
      <c r="AR39" s="154">
        <v>4</v>
      </c>
      <c r="AS39" s="363">
        <v>-2.4</v>
      </c>
      <c r="AT39" s="152"/>
      <c r="AU39" s="385">
        <v>4.9000000000000004</v>
      </c>
    </row>
    <row r="40" spans="1:48" x14ac:dyDescent="0.35">
      <c r="A40" s="105" t="s">
        <v>232</v>
      </c>
      <c r="B40" s="105" t="s">
        <v>233</v>
      </c>
      <c r="C40" s="27">
        <v>1.4</v>
      </c>
      <c r="D40" s="27"/>
      <c r="E40" s="386">
        <v>37.5</v>
      </c>
      <c r="F40" s="27"/>
      <c r="G40" s="386">
        <v>23.2</v>
      </c>
      <c r="H40" s="27"/>
      <c r="I40" s="155">
        <v>14.5</v>
      </c>
      <c r="J40" s="27">
        <v>12.5</v>
      </c>
      <c r="K40" s="27"/>
      <c r="L40" s="386">
        <v>14.7</v>
      </c>
      <c r="M40" s="27"/>
      <c r="N40" s="386">
        <v>39.700000000000003</v>
      </c>
      <c r="O40" s="27"/>
      <c r="P40" s="155">
        <v>26</v>
      </c>
      <c r="Q40" s="27">
        <v>4.9000000000000004</v>
      </c>
      <c r="R40" s="27"/>
      <c r="S40" s="386">
        <v>9.6999999999999993</v>
      </c>
      <c r="T40" s="27"/>
      <c r="U40" s="386">
        <v>0.5</v>
      </c>
      <c r="V40" s="27"/>
      <c r="W40" s="155">
        <v>-1.7</v>
      </c>
      <c r="X40" s="27">
        <v>5.5</v>
      </c>
      <c r="Y40" s="27"/>
      <c r="Z40" s="386">
        <v>-4</v>
      </c>
      <c r="AA40" s="27"/>
      <c r="AB40" s="386">
        <v>10.5</v>
      </c>
      <c r="AC40" s="27"/>
      <c r="AD40" s="155">
        <v>24.1</v>
      </c>
      <c r="AE40" s="27">
        <v>-6.9</v>
      </c>
      <c r="AF40" s="27"/>
      <c r="AG40" s="386">
        <v>101.4</v>
      </c>
      <c r="AH40" s="27"/>
      <c r="AI40" s="386">
        <v>129.9</v>
      </c>
      <c r="AJ40" s="27"/>
      <c r="AK40" s="155">
        <v>51.4</v>
      </c>
      <c r="AL40" s="27">
        <v>-10.6</v>
      </c>
      <c r="AM40" s="27"/>
      <c r="AN40" s="386">
        <v>-12.5</v>
      </c>
      <c r="AO40" s="27"/>
      <c r="AP40" s="386">
        <v>-4.8</v>
      </c>
      <c r="AQ40" s="27"/>
      <c r="AR40" s="155">
        <v>3.1</v>
      </c>
      <c r="AS40" s="366">
        <v>2.2000000000000002</v>
      </c>
      <c r="AT40" s="27"/>
      <c r="AU40" s="386">
        <v>-6.6</v>
      </c>
    </row>
    <row r="41" spans="1:48" x14ac:dyDescent="0.35">
      <c r="A41" s="109" t="s">
        <v>234</v>
      </c>
      <c r="B41" s="105" t="s">
        <v>235</v>
      </c>
      <c r="C41" s="27" t="s">
        <v>178</v>
      </c>
      <c r="D41" s="27"/>
      <c r="E41" s="386" t="s">
        <v>178</v>
      </c>
      <c r="F41" s="27"/>
      <c r="G41" s="386" t="s">
        <v>178</v>
      </c>
      <c r="H41" s="27"/>
      <c r="I41" s="155">
        <v>-0.3</v>
      </c>
      <c r="J41" s="27">
        <v>0.1</v>
      </c>
      <c r="K41" s="27"/>
      <c r="L41" s="386">
        <v>0.1</v>
      </c>
      <c r="M41" s="27"/>
      <c r="N41" s="386">
        <v>-0.5</v>
      </c>
      <c r="O41" s="27"/>
      <c r="P41" s="155">
        <v>-0.5</v>
      </c>
      <c r="Q41" s="27">
        <v>-0.7</v>
      </c>
      <c r="R41" s="27"/>
      <c r="S41" s="386">
        <v>-0.7</v>
      </c>
      <c r="T41" s="27"/>
      <c r="U41" s="386">
        <v>-0.9</v>
      </c>
      <c r="V41" s="27"/>
      <c r="W41" s="155">
        <v>-0.3</v>
      </c>
      <c r="X41" s="27">
        <v>0.6</v>
      </c>
      <c r="Y41" s="27"/>
      <c r="Z41" s="386">
        <v>0.2</v>
      </c>
      <c r="AA41" s="27"/>
      <c r="AB41" s="386">
        <v>0.5</v>
      </c>
      <c r="AC41" s="27"/>
      <c r="AD41" s="155">
        <v>-0.2</v>
      </c>
      <c r="AE41" s="27">
        <v>-1.3</v>
      </c>
      <c r="AF41" s="27"/>
      <c r="AG41" s="386">
        <v>-2.2000000000000002</v>
      </c>
      <c r="AH41" s="27"/>
      <c r="AI41" s="386">
        <v>-3.3</v>
      </c>
      <c r="AJ41" s="27"/>
      <c r="AK41" s="155">
        <v>-2.2999999999999998</v>
      </c>
      <c r="AL41" s="27">
        <v>0.5</v>
      </c>
      <c r="AM41" s="27"/>
      <c r="AN41" s="386">
        <v>0.3</v>
      </c>
      <c r="AO41" s="27"/>
      <c r="AP41" s="386">
        <v>-0.3</v>
      </c>
      <c r="AQ41" s="27"/>
      <c r="AR41" s="155">
        <v>0.2</v>
      </c>
      <c r="AS41" s="366">
        <v>-0.5</v>
      </c>
      <c r="AT41" s="27"/>
      <c r="AU41" s="386">
        <v>-0.2</v>
      </c>
      <c r="AV41" s="104"/>
    </row>
    <row r="42" spans="1:48" x14ac:dyDescent="0.35">
      <c r="A42" s="105" t="s">
        <v>236</v>
      </c>
      <c r="B42" s="105" t="s">
        <v>237</v>
      </c>
      <c r="C42" s="27" t="s">
        <v>178</v>
      </c>
      <c r="D42" s="27"/>
      <c r="E42" s="386" t="s">
        <v>178</v>
      </c>
      <c r="F42" s="27"/>
      <c r="G42" s="386" t="s">
        <v>178</v>
      </c>
      <c r="H42" s="27"/>
      <c r="I42" s="248" t="s">
        <v>178</v>
      </c>
      <c r="J42" s="27" t="s">
        <v>178</v>
      </c>
      <c r="K42" s="27"/>
      <c r="L42" s="386" t="s">
        <v>178</v>
      </c>
      <c r="M42" s="27"/>
      <c r="N42" s="386" t="s">
        <v>178</v>
      </c>
      <c r="O42" s="27"/>
      <c r="P42" s="155" t="s">
        <v>178</v>
      </c>
      <c r="Q42" s="27" t="s">
        <v>178</v>
      </c>
      <c r="R42" s="27"/>
      <c r="S42" s="386" t="s">
        <v>178</v>
      </c>
      <c r="T42" s="27"/>
      <c r="U42" s="386" t="s">
        <v>178</v>
      </c>
      <c r="V42" s="27"/>
      <c r="W42" s="155" t="s">
        <v>178</v>
      </c>
      <c r="X42" s="27" t="s">
        <v>178</v>
      </c>
      <c r="Y42" s="27"/>
      <c r="Z42" s="386" t="s">
        <v>178</v>
      </c>
      <c r="AA42" s="27"/>
      <c r="AB42" s="386" t="s">
        <v>178</v>
      </c>
      <c r="AC42" s="27"/>
      <c r="AD42" s="155">
        <v>-0.1</v>
      </c>
      <c r="AE42" s="27">
        <v>-3.1</v>
      </c>
      <c r="AF42" s="27"/>
      <c r="AG42" s="386">
        <v>-22.2</v>
      </c>
      <c r="AH42" s="27"/>
      <c r="AI42" s="386">
        <v>-35.4</v>
      </c>
      <c r="AJ42" s="27"/>
      <c r="AK42" s="155">
        <v>-21.4</v>
      </c>
      <c r="AL42" s="27">
        <v>18.8</v>
      </c>
      <c r="AM42" s="27"/>
      <c r="AN42" s="386">
        <v>37.299999999999997</v>
      </c>
      <c r="AO42" s="27"/>
      <c r="AP42" s="386">
        <v>23.5</v>
      </c>
      <c r="AQ42" s="27"/>
      <c r="AR42" s="155">
        <v>47.4</v>
      </c>
      <c r="AS42" s="366">
        <v>-16.600000000000001</v>
      </c>
      <c r="AT42" s="27"/>
      <c r="AU42" s="386">
        <v>-4.4000000000000004</v>
      </c>
    </row>
    <row r="43" spans="1:48" x14ac:dyDescent="0.35">
      <c r="A43" s="105" t="s">
        <v>238</v>
      </c>
      <c r="B43" s="105" t="s">
        <v>239</v>
      </c>
      <c r="C43" s="27" t="s">
        <v>178</v>
      </c>
      <c r="D43" s="27"/>
      <c r="E43" s="386" t="s">
        <v>178</v>
      </c>
      <c r="F43" s="27"/>
      <c r="G43" s="386" t="s">
        <v>178</v>
      </c>
      <c r="H43" s="27"/>
      <c r="I43" s="155" t="s">
        <v>178</v>
      </c>
      <c r="J43" s="27" t="s">
        <v>178</v>
      </c>
      <c r="K43" s="27"/>
      <c r="L43" s="386" t="s">
        <v>178</v>
      </c>
      <c r="M43" s="27"/>
      <c r="N43" s="386" t="s">
        <v>178</v>
      </c>
      <c r="O43" s="27"/>
      <c r="P43" s="155" t="s">
        <v>178</v>
      </c>
      <c r="Q43" s="27" t="s">
        <v>178</v>
      </c>
      <c r="R43" s="27"/>
      <c r="S43" s="386" t="s">
        <v>178</v>
      </c>
      <c r="T43" s="27"/>
      <c r="U43" s="386" t="s">
        <v>178</v>
      </c>
      <c r="V43" s="27"/>
      <c r="W43" s="155" t="s">
        <v>178</v>
      </c>
      <c r="X43" s="27" t="s">
        <v>178</v>
      </c>
      <c r="Y43" s="27"/>
      <c r="Z43" s="386" t="s">
        <v>178</v>
      </c>
      <c r="AA43" s="27"/>
      <c r="AB43" s="386" t="s">
        <v>178</v>
      </c>
      <c r="AC43" s="27"/>
      <c r="AD43" s="155" t="s">
        <v>178</v>
      </c>
      <c r="AE43" s="27" t="s">
        <v>178</v>
      </c>
      <c r="AF43" s="27"/>
      <c r="AG43" s="386" t="s">
        <v>178</v>
      </c>
      <c r="AH43" s="27"/>
      <c r="AI43" s="386" t="s">
        <v>178</v>
      </c>
      <c r="AJ43" s="27"/>
      <c r="AK43" s="155">
        <v>23.5</v>
      </c>
      <c r="AL43" s="27">
        <v>-3.6</v>
      </c>
      <c r="AM43" s="27"/>
      <c r="AN43" s="386">
        <v>-16.7</v>
      </c>
      <c r="AO43" s="27"/>
      <c r="AP43" s="386">
        <v>-19.600000000000001</v>
      </c>
      <c r="AQ43" s="27"/>
      <c r="AR43" s="155">
        <v>-32.4</v>
      </c>
      <c r="AS43" s="366">
        <v>-0.9</v>
      </c>
      <c r="AT43" s="27"/>
      <c r="AU43" s="386">
        <v>-14.7</v>
      </c>
    </row>
    <row r="44" spans="1:48" x14ac:dyDescent="0.35">
      <c r="A44" s="105" t="s">
        <v>240</v>
      </c>
      <c r="B44" s="105" t="s">
        <v>241</v>
      </c>
      <c r="C44" s="27" t="s">
        <v>178</v>
      </c>
      <c r="D44" s="27"/>
      <c r="E44" s="386" t="s">
        <v>178</v>
      </c>
      <c r="F44" s="27"/>
      <c r="G44" s="386" t="s">
        <v>178</v>
      </c>
      <c r="H44" s="27"/>
      <c r="I44" s="155" t="s">
        <v>178</v>
      </c>
      <c r="J44" s="27" t="s">
        <v>178</v>
      </c>
      <c r="K44" s="27"/>
      <c r="L44" s="386" t="s">
        <v>178</v>
      </c>
      <c r="M44" s="27"/>
      <c r="N44" s="386" t="s">
        <v>178</v>
      </c>
      <c r="O44" s="27"/>
      <c r="P44" s="155" t="s">
        <v>178</v>
      </c>
      <c r="Q44" s="27" t="s">
        <v>178</v>
      </c>
      <c r="R44" s="27"/>
      <c r="S44" s="386" t="s">
        <v>178</v>
      </c>
      <c r="T44" s="27"/>
      <c r="U44" s="386" t="s">
        <v>178</v>
      </c>
      <c r="V44" s="27"/>
      <c r="W44" s="155" t="s">
        <v>178</v>
      </c>
      <c r="X44" s="27">
        <v>-0.5</v>
      </c>
      <c r="Y44" s="27"/>
      <c r="Z44" s="386">
        <v>-0.9</v>
      </c>
      <c r="AA44" s="27"/>
      <c r="AB44" s="386">
        <v>-1.9</v>
      </c>
      <c r="AC44" s="27"/>
      <c r="AD44" s="155">
        <v>-4.5</v>
      </c>
      <c r="AE44" s="27">
        <v>-5.7</v>
      </c>
      <c r="AF44" s="27"/>
      <c r="AG44" s="386">
        <v>-11.7</v>
      </c>
      <c r="AH44" s="27"/>
      <c r="AI44" s="386">
        <v>-15.7</v>
      </c>
      <c r="AJ44" s="27"/>
      <c r="AK44" s="155">
        <v>-1.3</v>
      </c>
      <c r="AL44" s="27">
        <v>-1.5</v>
      </c>
      <c r="AM44" s="27"/>
      <c r="AN44" s="386">
        <v>-1.4</v>
      </c>
      <c r="AO44" s="27"/>
      <c r="AP44" s="386">
        <v>-2</v>
      </c>
      <c r="AQ44" s="27"/>
      <c r="AR44" s="155">
        <v>0.4</v>
      </c>
      <c r="AS44" s="366">
        <v>0.3</v>
      </c>
      <c r="AT44" s="27"/>
      <c r="AU44" s="386">
        <v>1.3</v>
      </c>
    </row>
    <row r="45" spans="1:48" s="31" customFormat="1" x14ac:dyDescent="0.35">
      <c r="A45" s="103" t="s">
        <v>242</v>
      </c>
      <c r="B45" s="92" t="s">
        <v>243</v>
      </c>
      <c r="C45" s="152">
        <v>1.4</v>
      </c>
      <c r="D45" s="152"/>
      <c r="E45" s="385">
        <v>37.5</v>
      </c>
      <c r="F45" s="152"/>
      <c r="G45" s="385">
        <v>23.2</v>
      </c>
      <c r="H45" s="152"/>
      <c r="I45" s="154">
        <v>14.2</v>
      </c>
      <c r="J45" s="152">
        <v>12.6</v>
      </c>
      <c r="K45" s="152"/>
      <c r="L45" s="385">
        <v>14.8</v>
      </c>
      <c r="M45" s="152"/>
      <c r="N45" s="385">
        <v>39.200000000000003</v>
      </c>
      <c r="O45" s="152"/>
      <c r="P45" s="154">
        <v>25.5</v>
      </c>
      <c r="Q45" s="152">
        <v>4.2</v>
      </c>
      <c r="R45" s="152"/>
      <c r="S45" s="385">
        <v>9</v>
      </c>
      <c r="T45" s="152"/>
      <c r="U45" s="385">
        <v>-0.4</v>
      </c>
      <c r="V45" s="152"/>
      <c r="W45" s="154">
        <v>-2</v>
      </c>
      <c r="X45" s="152">
        <v>5.6</v>
      </c>
      <c r="Y45" s="152"/>
      <c r="Z45" s="385">
        <v>-4.7</v>
      </c>
      <c r="AA45" s="152"/>
      <c r="AB45" s="385">
        <v>9.1</v>
      </c>
      <c r="AC45" s="152"/>
      <c r="AD45" s="154">
        <v>19.3</v>
      </c>
      <c r="AE45" s="152">
        <v>-17</v>
      </c>
      <c r="AF45" s="152"/>
      <c r="AG45" s="385">
        <v>65.3</v>
      </c>
      <c r="AH45" s="152"/>
      <c r="AI45" s="385">
        <v>75.5</v>
      </c>
      <c r="AJ45" s="152"/>
      <c r="AK45" s="154">
        <v>49.9</v>
      </c>
      <c r="AL45" s="152">
        <v>3.6</v>
      </c>
      <c r="AM45" s="152"/>
      <c r="AN45" s="385">
        <v>7</v>
      </c>
      <c r="AO45" s="152"/>
      <c r="AP45" s="385">
        <v>-3.2</v>
      </c>
      <c r="AQ45" s="152"/>
      <c r="AR45" s="154">
        <v>18.7</v>
      </c>
      <c r="AS45" s="363">
        <v>-15.5</v>
      </c>
      <c r="AT45" s="152"/>
      <c r="AU45" s="385">
        <v>-24.6</v>
      </c>
    </row>
    <row r="46" spans="1:48" s="31" customFormat="1" x14ac:dyDescent="0.35">
      <c r="A46" s="103" t="s">
        <v>244</v>
      </c>
      <c r="B46" s="92" t="s">
        <v>245</v>
      </c>
      <c r="C46" s="152">
        <v>-3.4</v>
      </c>
      <c r="D46" s="152"/>
      <c r="E46" s="385">
        <v>25.9</v>
      </c>
      <c r="F46" s="152"/>
      <c r="G46" s="385">
        <v>8.1</v>
      </c>
      <c r="H46" s="152"/>
      <c r="I46" s="154">
        <v>-3.1</v>
      </c>
      <c r="J46" s="152">
        <v>17.8</v>
      </c>
      <c r="K46" s="152"/>
      <c r="L46" s="385">
        <v>21.6</v>
      </c>
      <c r="M46" s="152"/>
      <c r="N46" s="385">
        <v>49.7</v>
      </c>
      <c r="O46" s="152"/>
      <c r="P46" s="154">
        <v>35.200000000000003</v>
      </c>
      <c r="Q46" s="152">
        <v>1.9</v>
      </c>
      <c r="R46" s="152"/>
      <c r="S46" s="385">
        <v>5.8</v>
      </c>
      <c r="T46" s="152"/>
      <c r="U46" s="385">
        <v>-5.5</v>
      </c>
      <c r="V46" s="152"/>
      <c r="W46" s="154">
        <v>-9.9</v>
      </c>
      <c r="X46" s="152">
        <v>5</v>
      </c>
      <c r="Y46" s="152"/>
      <c r="Z46" s="385">
        <v>-1.7</v>
      </c>
      <c r="AA46" s="152"/>
      <c r="AB46" s="385">
        <v>15.6</v>
      </c>
      <c r="AC46" s="152"/>
      <c r="AD46" s="154">
        <v>27.1</v>
      </c>
      <c r="AE46" s="152">
        <v>-20.6</v>
      </c>
      <c r="AF46" s="152"/>
      <c r="AG46" s="385">
        <v>57.5</v>
      </c>
      <c r="AH46" s="152"/>
      <c r="AI46" s="385">
        <v>70.400000000000006</v>
      </c>
      <c r="AJ46" s="152"/>
      <c r="AK46" s="154">
        <v>55.9</v>
      </c>
      <c r="AL46" s="152">
        <v>-2.8</v>
      </c>
      <c r="AM46" s="152"/>
      <c r="AN46" s="385">
        <v>-0.2</v>
      </c>
      <c r="AO46" s="152"/>
      <c r="AP46" s="385">
        <v>-1.1000000000000001</v>
      </c>
      <c r="AQ46" s="152"/>
      <c r="AR46" s="154">
        <v>22.7</v>
      </c>
      <c r="AS46" s="363">
        <v>-17.899999999999999</v>
      </c>
      <c r="AT46" s="152"/>
      <c r="AU46" s="385">
        <v>-19.7</v>
      </c>
    </row>
    <row r="47" spans="1:48" s="31" customFormat="1" x14ac:dyDescent="0.35">
      <c r="A47" s="103" t="s">
        <v>246</v>
      </c>
      <c r="B47" s="92" t="s">
        <v>247</v>
      </c>
      <c r="C47" s="152">
        <v>42.3</v>
      </c>
      <c r="D47" s="152"/>
      <c r="E47" s="385">
        <v>149.69999999999999</v>
      </c>
      <c r="F47" s="152"/>
      <c r="G47" s="385">
        <v>159.19999999999999</v>
      </c>
      <c r="H47" s="152"/>
      <c r="I47" s="154">
        <v>110.5</v>
      </c>
      <c r="J47" s="152">
        <v>86</v>
      </c>
      <c r="K47" s="152"/>
      <c r="L47" s="385">
        <v>145.1</v>
      </c>
      <c r="M47" s="152"/>
      <c r="N47" s="385">
        <v>241.8</v>
      </c>
      <c r="O47" s="152"/>
      <c r="P47" s="154">
        <v>184.1</v>
      </c>
      <c r="Q47" s="152">
        <v>87.5</v>
      </c>
      <c r="R47" s="152"/>
      <c r="S47" s="385">
        <v>183.1</v>
      </c>
      <c r="T47" s="152"/>
      <c r="U47" s="385">
        <v>236.7</v>
      </c>
      <c r="V47" s="152"/>
      <c r="W47" s="154">
        <v>292.3</v>
      </c>
      <c r="X47" s="152">
        <v>79.400000000000006</v>
      </c>
      <c r="Y47" s="152"/>
      <c r="Z47" s="385">
        <v>153.80000000000001</v>
      </c>
      <c r="AA47" s="152"/>
      <c r="AB47" s="385">
        <v>279.8</v>
      </c>
      <c r="AC47" s="152"/>
      <c r="AD47" s="154">
        <v>420.8</v>
      </c>
      <c r="AE47" s="152">
        <v>82.7</v>
      </c>
      <c r="AF47" s="152"/>
      <c r="AG47" s="385">
        <v>361.8</v>
      </c>
      <c r="AH47" s="152"/>
      <c r="AI47" s="385">
        <v>579.6</v>
      </c>
      <c r="AJ47" s="152"/>
      <c r="AK47" s="154">
        <v>489.6</v>
      </c>
      <c r="AL47" s="152">
        <v>97.7</v>
      </c>
      <c r="AM47" s="152"/>
      <c r="AN47" s="385">
        <v>181</v>
      </c>
      <c r="AO47" s="152"/>
      <c r="AP47" s="385">
        <v>323</v>
      </c>
      <c r="AQ47" s="152"/>
      <c r="AR47" s="154">
        <v>443.3</v>
      </c>
      <c r="AS47" s="363">
        <v>158.5</v>
      </c>
      <c r="AT47" s="152"/>
      <c r="AU47" s="385">
        <f>AU36+AU46</f>
        <v>336.2</v>
      </c>
    </row>
    <row r="48" spans="1:48" s="31" customFormat="1" x14ac:dyDescent="0.35">
      <c r="A48" s="102" t="s">
        <v>248</v>
      </c>
      <c r="B48" s="95" t="s">
        <v>200</v>
      </c>
      <c r="C48" s="27"/>
      <c r="D48" s="27"/>
      <c r="E48" s="386"/>
      <c r="F48" s="27"/>
      <c r="G48" s="386"/>
      <c r="H48" s="27"/>
      <c r="I48" s="155"/>
      <c r="J48" s="27"/>
      <c r="K48" s="27"/>
      <c r="L48" s="386"/>
      <c r="M48" s="27"/>
      <c r="N48" s="386"/>
      <c r="O48" s="27"/>
      <c r="P48" s="155"/>
      <c r="Q48" s="27"/>
      <c r="R48" s="27"/>
      <c r="S48" s="386"/>
      <c r="T48" s="27"/>
      <c r="U48" s="386"/>
      <c r="V48" s="27"/>
      <c r="W48" s="155"/>
      <c r="X48" s="27"/>
      <c r="Y48" s="27"/>
      <c r="Z48" s="386"/>
      <c r="AA48" s="27"/>
      <c r="AB48" s="386"/>
      <c r="AC48" s="27"/>
      <c r="AD48" s="155"/>
      <c r="AE48" s="152"/>
      <c r="AF48" s="152"/>
      <c r="AG48" s="386"/>
      <c r="AH48" s="27"/>
      <c r="AI48" s="386"/>
      <c r="AJ48" s="152"/>
      <c r="AK48" s="155"/>
      <c r="AL48" s="152"/>
      <c r="AM48" s="152"/>
      <c r="AN48" s="386"/>
      <c r="AO48" s="27"/>
      <c r="AP48" s="386"/>
      <c r="AQ48" s="152"/>
      <c r="AR48" s="155"/>
      <c r="AS48" s="363"/>
      <c r="AT48" s="152"/>
      <c r="AU48" s="386"/>
    </row>
    <row r="49" spans="1:47" s="31" customFormat="1" x14ac:dyDescent="0.35">
      <c r="A49" s="107" t="s">
        <v>201</v>
      </c>
      <c r="B49" s="108" t="s">
        <v>249</v>
      </c>
      <c r="C49" s="152">
        <v>43.3</v>
      </c>
      <c r="D49" s="152"/>
      <c r="E49" s="385">
        <v>148.30000000000001</v>
      </c>
      <c r="F49" s="152"/>
      <c r="G49" s="385">
        <v>157.6</v>
      </c>
      <c r="H49" s="152"/>
      <c r="I49" s="154">
        <v>107.3</v>
      </c>
      <c r="J49" s="152">
        <v>86.8</v>
      </c>
      <c r="K49" s="152"/>
      <c r="L49" s="385">
        <v>144.80000000000001</v>
      </c>
      <c r="M49" s="152"/>
      <c r="N49" s="385">
        <v>239.7</v>
      </c>
      <c r="O49" s="152"/>
      <c r="P49" s="154">
        <v>179.4</v>
      </c>
      <c r="Q49" s="152">
        <v>85.4</v>
      </c>
      <c r="R49" s="152"/>
      <c r="S49" s="385">
        <v>179.4</v>
      </c>
      <c r="T49" s="152"/>
      <c r="U49" s="385">
        <v>231.5</v>
      </c>
      <c r="V49" s="152"/>
      <c r="W49" s="154">
        <v>287</v>
      </c>
      <c r="X49" s="152">
        <v>79.099999999999994</v>
      </c>
      <c r="Y49" s="152"/>
      <c r="Z49" s="385">
        <v>152.4</v>
      </c>
      <c r="AA49" s="152"/>
      <c r="AB49" s="385">
        <v>276.89999999999998</v>
      </c>
      <c r="AC49" s="152"/>
      <c r="AD49" s="154">
        <v>415.8</v>
      </c>
      <c r="AE49" s="152">
        <v>80.3</v>
      </c>
      <c r="AF49" s="152"/>
      <c r="AG49" s="385">
        <v>355.4</v>
      </c>
      <c r="AH49" s="152"/>
      <c r="AI49" s="385">
        <v>571.9</v>
      </c>
      <c r="AJ49" s="152"/>
      <c r="AK49" s="154">
        <v>483.2</v>
      </c>
      <c r="AL49" s="152">
        <v>99.6</v>
      </c>
      <c r="AM49" s="152"/>
      <c r="AN49" s="385">
        <v>180.1</v>
      </c>
      <c r="AO49" s="152"/>
      <c r="AP49" s="385">
        <v>320</v>
      </c>
      <c r="AQ49" s="152"/>
      <c r="AR49" s="154">
        <v>439.7</v>
      </c>
      <c r="AS49" s="363">
        <v>156.29999999999998</v>
      </c>
      <c r="AT49" s="152"/>
      <c r="AU49" s="385">
        <v>334.1</v>
      </c>
    </row>
    <row r="50" spans="1:47" x14ac:dyDescent="0.35">
      <c r="A50" s="105" t="s">
        <v>203</v>
      </c>
      <c r="B50" s="106" t="s">
        <v>250</v>
      </c>
      <c r="C50" s="27">
        <v>-1</v>
      </c>
      <c r="D50" s="27"/>
      <c r="E50" s="386">
        <v>1.4</v>
      </c>
      <c r="F50" s="27"/>
      <c r="G50" s="386">
        <v>1.8</v>
      </c>
      <c r="H50" s="27"/>
      <c r="I50" s="155">
        <v>3.2</v>
      </c>
      <c r="J50" s="27">
        <v>-0.9</v>
      </c>
      <c r="K50" s="27"/>
      <c r="L50" s="386">
        <v>0.4</v>
      </c>
      <c r="M50" s="27"/>
      <c r="N50" s="386">
        <v>2.1</v>
      </c>
      <c r="O50" s="27"/>
      <c r="P50" s="155">
        <v>4.7</v>
      </c>
      <c r="Q50" s="27">
        <v>2.1</v>
      </c>
      <c r="R50" s="27"/>
      <c r="S50" s="386">
        <v>3.7</v>
      </c>
      <c r="T50" s="27"/>
      <c r="U50" s="386">
        <v>5.2</v>
      </c>
      <c r="V50" s="27"/>
      <c r="W50" s="155">
        <v>5.3</v>
      </c>
      <c r="X50" s="27">
        <v>0.3</v>
      </c>
      <c r="Y50" s="27"/>
      <c r="Z50" s="386">
        <v>1.4</v>
      </c>
      <c r="AA50" s="27"/>
      <c r="AB50" s="386">
        <v>2.9</v>
      </c>
      <c r="AC50" s="27"/>
      <c r="AD50" s="155">
        <v>5</v>
      </c>
      <c r="AE50" s="27">
        <v>2.4</v>
      </c>
      <c r="AF50" s="27"/>
      <c r="AG50" s="386">
        <v>6.4</v>
      </c>
      <c r="AH50" s="27"/>
      <c r="AI50" s="386">
        <v>7.7</v>
      </c>
      <c r="AJ50" s="27"/>
      <c r="AK50" s="155">
        <v>6.4</v>
      </c>
      <c r="AL50" s="27">
        <v>-1.9</v>
      </c>
      <c r="AM50" s="27"/>
      <c r="AN50" s="386">
        <v>0.9</v>
      </c>
      <c r="AO50" s="27"/>
      <c r="AP50" s="386">
        <v>3</v>
      </c>
      <c r="AQ50" s="27"/>
      <c r="AR50" s="155">
        <v>3.6</v>
      </c>
      <c r="AS50" s="366">
        <v>2.2000000000000002</v>
      </c>
      <c r="AT50" s="27"/>
      <c r="AU50" s="386">
        <v>2.1</v>
      </c>
    </row>
  </sheetData>
  <mergeCells count="4">
    <mergeCell ref="A2:A3"/>
    <mergeCell ref="B2:B3"/>
    <mergeCell ref="A34:A35"/>
    <mergeCell ref="B34:B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4C32-8CC2-48B5-A4A7-72D64BC661E7}">
  <sheetPr codeName="Munka4">
    <tabColor rgb="FF0070C0"/>
  </sheetPr>
  <dimension ref="A1:AE104"/>
  <sheetViews>
    <sheetView zoomScale="68" zoomScaleNormal="68" workbookViewId="0">
      <pane xSplit="2" ySplit="3" topLeftCell="T4" activePane="bottomRight" state="frozen"/>
      <selection activeCell="AS1" sqref="AS1"/>
      <selection pane="topRight" activeCell="AS1" sqref="AS1"/>
      <selection pane="bottomLeft" activeCell="AS1" sqref="AS1"/>
      <selection pane="bottomRight" activeCell="X4" sqref="X4:X42"/>
    </sheetView>
  </sheetViews>
  <sheetFormatPr defaultRowHeight="14.5" outlineLevelCol="1" x14ac:dyDescent="0.35"/>
  <cols>
    <col min="1" max="2" width="55.81640625" customWidth="1"/>
    <col min="3" max="5" width="13.453125" hidden="1" customWidth="1" outlineLevel="1"/>
    <col min="6" max="6" width="13.453125" bestFit="1" customWidth="1" collapsed="1"/>
    <col min="7" max="9" width="13.453125" hidden="1" customWidth="1" outlineLevel="1"/>
    <col min="10" max="10" width="13.453125" bestFit="1" customWidth="1" collapsed="1"/>
    <col min="11" max="13" width="13.453125" hidden="1" customWidth="1" outlineLevel="1"/>
    <col min="14" max="14" width="13.453125" bestFit="1" customWidth="1" collapsed="1"/>
    <col min="15" max="15" width="13.453125" hidden="1" customWidth="1" outlineLevel="1"/>
    <col min="16" max="16" width="14.81640625" hidden="1" customWidth="1" outlineLevel="1"/>
    <col min="17" max="17" width="15.453125" hidden="1" customWidth="1" outlineLevel="1"/>
    <col min="18" max="18" width="15.1796875" customWidth="1" collapsed="1"/>
    <col min="19" max="19" width="15.453125" customWidth="1" outlineLevel="1"/>
    <col min="20" max="21" width="15.81640625" customWidth="1" outlineLevel="1"/>
    <col min="22" max="22" width="15.81640625" bestFit="1" customWidth="1"/>
    <col min="23" max="23" width="15.453125" customWidth="1" outlineLevel="1"/>
    <col min="24" max="24" width="15.54296875" customWidth="1" outlineLevel="1"/>
    <col min="25" max="25" width="17.54296875" customWidth="1" outlineLevel="1"/>
    <col min="26" max="27" width="15.81640625" bestFit="1" customWidth="1"/>
    <col min="28" max="28" width="15.81640625" bestFit="1" customWidth="1" outlineLevel="1"/>
    <col min="29" max="29" width="10.1796875" bestFit="1" customWidth="1"/>
    <col min="31" max="31" width="10.1796875" bestFit="1" customWidth="1"/>
  </cols>
  <sheetData>
    <row r="1" spans="1:31" ht="30.75" customHeight="1" thickBot="1" x14ac:dyDescent="0.4">
      <c r="A1" s="39"/>
      <c r="B1" s="39"/>
    </row>
    <row r="2" spans="1:31" ht="15" thickBot="1" x14ac:dyDescent="0.4">
      <c r="A2" s="477" t="s">
        <v>254</v>
      </c>
      <c r="B2" s="477" t="s">
        <v>255</v>
      </c>
      <c r="C2" s="1" t="s">
        <v>79</v>
      </c>
      <c r="D2" s="1" t="s">
        <v>80</v>
      </c>
      <c r="E2" s="1" t="s">
        <v>81</v>
      </c>
      <c r="F2" s="64" t="s">
        <v>82</v>
      </c>
      <c r="G2" s="1" t="s">
        <v>83</v>
      </c>
      <c r="H2" s="1" t="s">
        <v>84</v>
      </c>
      <c r="I2" s="1" t="s">
        <v>85</v>
      </c>
      <c r="J2" s="64" t="s">
        <v>86</v>
      </c>
      <c r="K2" s="1" t="s">
        <v>87</v>
      </c>
      <c r="L2" s="1" t="s">
        <v>88</v>
      </c>
      <c r="M2" s="1" t="s">
        <v>89</v>
      </c>
      <c r="N2" s="64" t="s">
        <v>90</v>
      </c>
      <c r="O2" s="1" t="s">
        <v>91</v>
      </c>
      <c r="P2" s="1" t="s">
        <v>92</v>
      </c>
      <c r="Q2" s="1" t="s">
        <v>93</v>
      </c>
      <c r="R2" s="64" t="s">
        <v>94</v>
      </c>
      <c r="S2" s="1" t="s">
        <v>256</v>
      </c>
      <c r="T2" s="1" t="s">
        <v>257</v>
      </c>
      <c r="U2" s="1" t="s">
        <v>258</v>
      </c>
      <c r="V2" s="1" t="s">
        <v>259</v>
      </c>
      <c r="W2" s="1" t="s">
        <v>260</v>
      </c>
      <c r="X2" s="1" t="s">
        <v>261</v>
      </c>
      <c r="Y2" s="1" t="s">
        <v>101</v>
      </c>
      <c r="Z2" s="64" t="s">
        <v>102</v>
      </c>
      <c r="AA2" s="64" t="s">
        <v>1101</v>
      </c>
      <c r="AB2" s="1" t="s">
        <v>1165</v>
      </c>
    </row>
    <row r="3" spans="1:31" ht="15" thickTop="1" x14ac:dyDescent="0.35">
      <c r="A3" s="478"/>
      <c r="B3" s="478"/>
      <c r="C3" s="2" t="s">
        <v>62</v>
      </c>
      <c r="D3" s="2" t="s">
        <v>62</v>
      </c>
      <c r="E3" s="2" t="s">
        <v>62</v>
      </c>
      <c r="F3" s="2" t="s">
        <v>62</v>
      </c>
      <c r="G3" s="2" t="s">
        <v>62</v>
      </c>
      <c r="H3" s="2" t="s">
        <v>62</v>
      </c>
      <c r="I3" s="2" t="s">
        <v>62</v>
      </c>
      <c r="J3" s="2" t="s">
        <v>62</v>
      </c>
      <c r="K3" s="2" t="s">
        <v>62</v>
      </c>
      <c r="L3" s="2" t="s">
        <v>62</v>
      </c>
      <c r="M3" s="2" t="s">
        <v>62</v>
      </c>
      <c r="N3" s="2" t="s">
        <v>62</v>
      </c>
      <c r="O3" s="2" t="s">
        <v>62</v>
      </c>
      <c r="P3" s="2" t="s">
        <v>62</v>
      </c>
      <c r="Q3" s="2" t="s">
        <v>62</v>
      </c>
      <c r="R3" s="2" t="s">
        <v>62</v>
      </c>
      <c r="S3" s="2" t="s">
        <v>62</v>
      </c>
      <c r="T3" s="2" t="s">
        <v>62</v>
      </c>
      <c r="U3" s="2" t="s">
        <v>62</v>
      </c>
      <c r="V3" s="2" t="s">
        <v>62</v>
      </c>
      <c r="W3" s="2" t="s">
        <v>62</v>
      </c>
      <c r="X3" s="2" t="s">
        <v>62</v>
      </c>
      <c r="Y3" s="2" t="s">
        <v>62</v>
      </c>
      <c r="Z3" s="2" t="s">
        <v>62</v>
      </c>
      <c r="AA3" s="2" t="s">
        <v>62</v>
      </c>
      <c r="AB3" s="2" t="s">
        <v>62</v>
      </c>
    </row>
    <row r="4" spans="1:31" x14ac:dyDescent="0.35">
      <c r="A4" s="111" t="s">
        <v>262</v>
      </c>
      <c r="B4" s="111" t="s">
        <v>263</v>
      </c>
      <c r="C4" s="150">
        <v>776474</v>
      </c>
      <c r="D4" s="150">
        <v>807702</v>
      </c>
      <c r="E4" s="150">
        <v>818879</v>
      </c>
      <c r="F4" s="12">
        <v>797883</v>
      </c>
      <c r="G4" s="12">
        <v>839219</v>
      </c>
      <c r="H4" s="12">
        <v>852877</v>
      </c>
      <c r="I4" s="12">
        <v>882032</v>
      </c>
      <c r="J4" s="12">
        <v>858651</v>
      </c>
      <c r="K4" s="12">
        <v>882991</v>
      </c>
      <c r="L4" s="12">
        <v>907347</v>
      </c>
      <c r="M4" s="12">
        <v>929317</v>
      </c>
      <c r="N4" s="12">
        <v>948589</v>
      </c>
      <c r="O4" s="12">
        <v>966713</v>
      </c>
      <c r="P4" s="12">
        <v>1040822</v>
      </c>
      <c r="Q4" s="12">
        <v>1113759</v>
      </c>
      <c r="R4" s="12">
        <v>1145282</v>
      </c>
      <c r="S4" s="12">
        <v>1174146</v>
      </c>
      <c r="T4" s="12">
        <v>1287057</v>
      </c>
      <c r="U4" s="12">
        <v>1385033</v>
      </c>
      <c r="V4" s="17">
        <v>1353784</v>
      </c>
      <c r="W4" s="17">
        <v>1382920</v>
      </c>
      <c r="X4" s="387">
        <v>1278238</v>
      </c>
      <c r="Y4" s="17">
        <v>1357434</v>
      </c>
      <c r="Z4" s="17">
        <v>1361217</v>
      </c>
      <c r="AA4" s="17">
        <v>1422139</v>
      </c>
      <c r="AB4" s="387">
        <f>AB5+AB19</f>
        <v>1458693</v>
      </c>
    </row>
    <row r="5" spans="1:31" x14ac:dyDescent="0.35">
      <c r="A5" s="102" t="s">
        <v>264</v>
      </c>
      <c r="B5" s="102" t="s">
        <v>265</v>
      </c>
      <c r="C5" s="167">
        <v>450635</v>
      </c>
      <c r="D5" s="167">
        <v>459419</v>
      </c>
      <c r="E5" s="167">
        <v>459398</v>
      </c>
      <c r="F5" s="165">
        <v>439812</v>
      </c>
      <c r="G5" s="165">
        <v>453058</v>
      </c>
      <c r="H5" s="165">
        <v>457974</v>
      </c>
      <c r="I5" s="165">
        <v>463034</v>
      </c>
      <c r="J5" s="165">
        <v>449071</v>
      </c>
      <c r="K5" s="165">
        <v>448278</v>
      </c>
      <c r="L5" s="165">
        <v>451366</v>
      </c>
      <c r="M5" s="165">
        <v>476783</v>
      </c>
      <c r="N5" s="165">
        <v>499071</v>
      </c>
      <c r="O5" s="165">
        <v>580375</v>
      </c>
      <c r="P5" s="165">
        <v>671862</v>
      </c>
      <c r="Q5" s="165">
        <v>695407</v>
      </c>
      <c r="R5" s="165">
        <v>732660</v>
      </c>
      <c r="S5" s="165">
        <v>745107</v>
      </c>
      <c r="T5" s="165">
        <v>767054</v>
      </c>
      <c r="U5" s="165">
        <v>782883</v>
      </c>
      <c r="V5" s="8">
        <v>778014</v>
      </c>
      <c r="W5" s="8">
        <v>809392</v>
      </c>
      <c r="X5" s="347">
        <f>SUM(X6:X18)</f>
        <v>785099</v>
      </c>
      <c r="Y5" s="8">
        <v>805187</v>
      </c>
      <c r="Z5" s="8">
        <v>826304</v>
      </c>
      <c r="AA5" s="8">
        <v>861142</v>
      </c>
      <c r="AB5" s="347">
        <f>SUM(AB6:AB18)</f>
        <v>912809</v>
      </c>
      <c r="AC5" s="20"/>
    </row>
    <row r="6" spans="1:31" x14ac:dyDescent="0.35">
      <c r="A6" s="105" t="s">
        <v>266</v>
      </c>
      <c r="B6" s="105" t="s">
        <v>267</v>
      </c>
      <c r="C6" s="165">
        <v>195631</v>
      </c>
      <c r="D6" s="165">
        <v>200324</v>
      </c>
      <c r="E6" s="165">
        <v>203131</v>
      </c>
      <c r="F6" s="165">
        <v>214880</v>
      </c>
      <c r="G6" s="165">
        <v>225782</v>
      </c>
      <c r="H6" s="165">
        <v>229667</v>
      </c>
      <c r="I6" s="165">
        <v>235434</v>
      </c>
      <c r="J6" s="165">
        <v>244754</v>
      </c>
      <c r="K6" s="165">
        <v>242247</v>
      </c>
      <c r="L6" s="165">
        <v>242636</v>
      </c>
      <c r="M6" s="165">
        <v>244903</v>
      </c>
      <c r="N6" s="165">
        <v>254121</v>
      </c>
      <c r="O6" s="165">
        <v>253091</v>
      </c>
      <c r="P6" s="165">
        <v>254753</v>
      </c>
      <c r="Q6" s="165">
        <v>263129</v>
      </c>
      <c r="R6" s="165">
        <v>278394</v>
      </c>
      <c r="S6" s="165">
        <v>277551</v>
      </c>
      <c r="T6" s="165">
        <v>301020</v>
      </c>
      <c r="U6" s="165">
        <v>314552</v>
      </c>
      <c r="V6" s="8">
        <v>315949</v>
      </c>
      <c r="W6" s="8">
        <v>311789</v>
      </c>
      <c r="X6" s="347">
        <v>316049</v>
      </c>
      <c r="Y6" s="8">
        <v>332672</v>
      </c>
      <c r="Z6" s="8">
        <v>347394</v>
      </c>
      <c r="AA6" s="8">
        <v>350826</v>
      </c>
      <c r="AB6" s="347">
        <v>359921</v>
      </c>
    </row>
    <row r="7" spans="1:31" x14ac:dyDescent="0.35">
      <c r="A7" s="105" t="s">
        <v>268</v>
      </c>
      <c r="B7" s="105" t="s">
        <v>269</v>
      </c>
      <c r="C7" s="165">
        <v>0</v>
      </c>
      <c r="D7" s="165">
        <v>0</v>
      </c>
      <c r="E7" s="165">
        <v>0</v>
      </c>
      <c r="F7" s="165">
        <v>135</v>
      </c>
      <c r="G7" s="165">
        <v>129</v>
      </c>
      <c r="H7" s="165">
        <v>144</v>
      </c>
      <c r="I7" s="165">
        <v>148</v>
      </c>
      <c r="J7" s="165">
        <v>111</v>
      </c>
      <c r="K7" s="165">
        <v>120</v>
      </c>
      <c r="L7" s="165">
        <v>119</v>
      </c>
      <c r="M7" s="165">
        <v>121</v>
      </c>
      <c r="N7" s="165">
        <v>110</v>
      </c>
      <c r="O7" s="165">
        <v>109</v>
      </c>
      <c r="P7" s="165">
        <v>105</v>
      </c>
      <c r="Q7" s="165">
        <v>107</v>
      </c>
      <c r="R7" s="165">
        <v>110</v>
      </c>
      <c r="S7" s="165">
        <v>110</v>
      </c>
      <c r="T7" s="165">
        <v>118</v>
      </c>
      <c r="U7" s="165">
        <v>125</v>
      </c>
      <c r="V7" s="165">
        <v>0</v>
      </c>
      <c r="W7" s="165">
        <v>0</v>
      </c>
      <c r="X7" s="338">
        <v>0</v>
      </c>
      <c r="Y7" s="8"/>
      <c r="Z7" s="8">
        <v>0</v>
      </c>
      <c r="AA7" s="8" t="s">
        <v>178</v>
      </c>
      <c r="AB7" s="338">
        <v>0</v>
      </c>
      <c r="AE7" s="20"/>
    </row>
    <row r="8" spans="1:31" x14ac:dyDescent="0.35">
      <c r="A8" s="105" t="s">
        <v>270</v>
      </c>
      <c r="B8" s="105" t="s">
        <v>271</v>
      </c>
      <c r="C8" s="165">
        <v>44908</v>
      </c>
      <c r="D8" s="165">
        <v>47485</v>
      </c>
      <c r="E8" s="165">
        <v>46081</v>
      </c>
      <c r="F8" s="165">
        <v>35386</v>
      </c>
      <c r="G8" s="165">
        <v>36648</v>
      </c>
      <c r="H8" s="165">
        <v>35858</v>
      </c>
      <c r="I8" s="165">
        <v>37170</v>
      </c>
      <c r="J8" s="165">
        <v>29503</v>
      </c>
      <c r="K8" s="165">
        <v>31669</v>
      </c>
      <c r="L8" s="165">
        <v>30964</v>
      </c>
      <c r="M8" s="165">
        <v>31476</v>
      </c>
      <c r="N8" s="165">
        <v>31398</v>
      </c>
      <c r="O8" s="165">
        <v>32456</v>
      </c>
      <c r="P8" s="165">
        <v>31549</v>
      </c>
      <c r="Q8" s="165">
        <v>32944</v>
      </c>
      <c r="R8" s="165">
        <v>35005</v>
      </c>
      <c r="S8" s="165">
        <v>35742</v>
      </c>
      <c r="T8" s="165">
        <v>38786</v>
      </c>
      <c r="U8" s="165">
        <v>40174</v>
      </c>
      <c r="V8" s="8">
        <v>35101</v>
      </c>
      <c r="W8" s="8">
        <v>33228</v>
      </c>
      <c r="X8" s="347">
        <v>30845</v>
      </c>
      <c r="Y8" s="8">
        <v>32960</v>
      </c>
      <c r="Z8" s="8">
        <v>31903</v>
      </c>
      <c r="AA8" s="8">
        <v>33298</v>
      </c>
      <c r="AB8" s="347">
        <v>73953</v>
      </c>
    </row>
    <row r="9" spans="1:31" x14ac:dyDescent="0.35">
      <c r="A9" s="105" t="s">
        <v>272</v>
      </c>
      <c r="B9" s="105" t="s">
        <v>273</v>
      </c>
      <c r="C9" s="165">
        <v>153016</v>
      </c>
      <c r="D9" s="165">
        <v>156406</v>
      </c>
      <c r="E9" s="165">
        <v>166684</v>
      </c>
      <c r="F9" s="165">
        <v>151648</v>
      </c>
      <c r="G9" s="165">
        <v>150446</v>
      </c>
      <c r="H9" s="165">
        <v>152020</v>
      </c>
      <c r="I9" s="165">
        <v>148092</v>
      </c>
      <c r="J9" s="165">
        <v>127635</v>
      </c>
      <c r="K9" s="165">
        <v>140418</v>
      </c>
      <c r="L9" s="165">
        <v>141116</v>
      </c>
      <c r="M9" s="165">
        <v>140882</v>
      </c>
      <c r="N9" s="165">
        <v>141303</v>
      </c>
      <c r="O9" s="165">
        <v>219273</v>
      </c>
      <c r="P9" s="165">
        <v>221615</v>
      </c>
      <c r="Q9" s="165">
        <v>223538</v>
      </c>
      <c r="R9" s="165">
        <v>220915</v>
      </c>
      <c r="S9" s="165">
        <v>218664</v>
      </c>
      <c r="T9" s="165">
        <v>216843</v>
      </c>
      <c r="U9" s="165">
        <v>214296</v>
      </c>
      <c r="V9" s="8">
        <v>196714</v>
      </c>
      <c r="W9" s="8">
        <v>228511</v>
      </c>
      <c r="X9" s="347">
        <v>225755</v>
      </c>
      <c r="Y9" s="8">
        <v>234884</v>
      </c>
      <c r="Z9" s="8">
        <v>230383</v>
      </c>
      <c r="AA9" s="8">
        <v>228131</v>
      </c>
      <c r="AB9" s="444">
        <v>261514</v>
      </c>
    </row>
    <row r="10" spans="1:31" x14ac:dyDescent="0.35">
      <c r="A10" s="105" t="s">
        <v>274</v>
      </c>
      <c r="B10" s="105" t="s">
        <v>275</v>
      </c>
      <c r="C10" s="165">
        <v>12213</v>
      </c>
      <c r="D10" s="165">
        <v>12596</v>
      </c>
      <c r="E10" s="165">
        <v>11762</v>
      </c>
      <c r="F10" s="165">
        <v>11755</v>
      </c>
      <c r="G10" s="165">
        <v>12163</v>
      </c>
      <c r="H10" s="165">
        <v>11588</v>
      </c>
      <c r="I10" s="165">
        <v>16412</v>
      </c>
      <c r="J10" s="165">
        <v>16192</v>
      </c>
      <c r="K10" s="165">
        <v>16960</v>
      </c>
      <c r="L10" s="165">
        <v>17133</v>
      </c>
      <c r="M10" s="165">
        <v>16552</v>
      </c>
      <c r="N10" s="165">
        <v>12269</v>
      </c>
      <c r="O10" s="165">
        <v>13197</v>
      </c>
      <c r="P10" s="165">
        <v>13138</v>
      </c>
      <c r="Q10" s="165">
        <v>10471</v>
      </c>
      <c r="R10" s="165">
        <v>10800</v>
      </c>
      <c r="S10" s="165">
        <v>10925</v>
      </c>
      <c r="T10" s="165">
        <v>8995</v>
      </c>
      <c r="U10" s="165">
        <v>8934</v>
      </c>
      <c r="V10" s="8">
        <v>9281</v>
      </c>
      <c r="W10" s="8">
        <v>10066</v>
      </c>
      <c r="X10" s="347">
        <v>7917</v>
      </c>
      <c r="Y10" s="8">
        <v>10956</v>
      </c>
      <c r="Z10" s="8">
        <v>15177</v>
      </c>
      <c r="AA10" s="8">
        <v>16021</v>
      </c>
      <c r="AB10" s="444">
        <v>16625</v>
      </c>
    </row>
    <row r="11" spans="1:31" x14ac:dyDescent="0.35">
      <c r="A11" s="105" t="s">
        <v>276</v>
      </c>
      <c r="B11" s="105" t="s">
        <v>277</v>
      </c>
      <c r="C11" s="165">
        <v>31177</v>
      </c>
      <c r="D11" s="165">
        <v>28833</v>
      </c>
      <c r="E11" s="165">
        <v>10130</v>
      </c>
      <c r="F11" s="165">
        <v>9452</v>
      </c>
      <c r="G11" s="165">
        <v>11264</v>
      </c>
      <c r="H11" s="165">
        <v>11829</v>
      </c>
      <c r="I11" s="165">
        <v>12337</v>
      </c>
      <c r="J11" s="165">
        <v>19030</v>
      </c>
      <c r="K11" s="165">
        <v>5548</v>
      </c>
      <c r="L11" s="165">
        <v>6852</v>
      </c>
      <c r="M11" s="165">
        <v>31626</v>
      </c>
      <c r="N11" s="165">
        <v>0</v>
      </c>
      <c r="O11" s="165">
        <v>0</v>
      </c>
      <c r="P11" s="165">
        <v>0</v>
      </c>
      <c r="Q11" s="165">
        <v>0</v>
      </c>
      <c r="R11" s="165">
        <v>0</v>
      </c>
      <c r="S11" s="165">
        <v>0</v>
      </c>
      <c r="T11" s="165">
        <v>0</v>
      </c>
      <c r="U11" s="165">
        <v>0</v>
      </c>
      <c r="V11" s="165">
        <v>0</v>
      </c>
      <c r="W11" s="165">
        <v>0</v>
      </c>
      <c r="X11" s="338">
        <v>0</v>
      </c>
      <c r="Y11" s="8"/>
      <c r="Z11" s="8">
        <v>0</v>
      </c>
      <c r="AA11" s="8">
        <v>0</v>
      </c>
      <c r="AB11" s="338">
        <v>0</v>
      </c>
    </row>
    <row r="12" spans="1:31" s="353" customFormat="1" x14ac:dyDescent="0.35">
      <c r="A12" s="356" t="s">
        <v>278</v>
      </c>
      <c r="B12" s="356" t="s">
        <v>279</v>
      </c>
      <c r="C12" s="338">
        <v>0</v>
      </c>
      <c r="D12" s="338" t="s">
        <v>178</v>
      </c>
      <c r="E12" s="338">
        <v>0</v>
      </c>
      <c r="F12" s="338">
        <v>0</v>
      </c>
      <c r="G12" s="338">
        <v>0</v>
      </c>
      <c r="H12" s="338">
        <v>0</v>
      </c>
      <c r="I12" s="338">
        <v>0</v>
      </c>
      <c r="J12" s="338">
        <v>0</v>
      </c>
      <c r="K12" s="338">
        <v>0</v>
      </c>
      <c r="L12" s="338">
        <v>0</v>
      </c>
      <c r="M12" s="338">
        <v>0</v>
      </c>
      <c r="N12" s="338">
        <v>1171</v>
      </c>
      <c r="O12" s="338">
        <v>2498</v>
      </c>
      <c r="P12" s="338">
        <v>2543</v>
      </c>
      <c r="Q12" s="338">
        <v>4507</v>
      </c>
      <c r="R12" s="338">
        <v>5335</v>
      </c>
      <c r="S12" s="338">
        <v>6194</v>
      </c>
      <c r="T12" s="338">
        <v>7191</v>
      </c>
      <c r="U12" s="338">
        <v>7816</v>
      </c>
      <c r="V12" s="347">
        <v>20801</v>
      </c>
      <c r="W12" s="347">
        <v>23963</v>
      </c>
      <c r="X12" s="347">
        <v>8332</v>
      </c>
      <c r="Y12" s="347">
        <v>8393</v>
      </c>
      <c r="Z12" s="347">
        <v>4120</v>
      </c>
      <c r="AA12" s="347">
        <v>3761</v>
      </c>
      <c r="AB12" s="347">
        <v>1190</v>
      </c>
    </row>
    <row r="13" spans="1:31" x14ac:dyDescent="0.35">
      <c r="A13" s="105" t="s">
        <v>280</v>
      </c>
      <c r="B13" s="105" t="s">
        <v>281</v>
      </c>
      <c r="C13" s="165">
        <v>0</v>
      </c>
      <c r="D13" s="165" t="s">
        <v>178</v>
      </c>
      <c r="E13" s="165">
        <v>0</v>
      </c>
      <c r="F13" s="165">
        <v>0</v>
      </c>
      <c r="G13" s="165">
        <v>0</v>
      </c>
      <c r="H13" s="165">
        <v>0</v>
      </c>
      <c r="I13" s="165">
        <v>0</v>
      </c>
      <c r="J13" s="165">
        <v>0</v>
      </c>
      <c r="K13" s="165">
        <v>0</v>
      </c>
      <c r="L13" s="165">
        <v>0</v>
      </c>
      <c r="M13" s="165">
        <v>0</v>
      </c>
      <c r="N13" s="165">
        <v>10797</v>
      </c>
      <c r="O13" s="165">
        <v>11734</v>
      </c>
      <c r="P13" s="165">
        <v>84911</v>
      </c>
      <c r="Q13" s="165">
        <v>86051</v>
      </c>
      <c r="R13" s="165">
        <v>93758</v>
      </c>
      <c r="S13" s="165">
        <v>81618</v>
      </c>
      <c r="T13" s="165">
        <v>71520</v>
      </c>
      <c r="U13" s="165">
        <v>67216</v>
      </c>
      <c r="V13" s="8">
        <v>67724</v>
      </c>
      <c r="W13" s="8">
        <v>70196</v>
      </c>
      <c r="X13" s="347">
        <v>74087</v>
      </c>
      <c r="Y13" s="8">
        <v>70237</v>
      </c>
      <c r="Z13" s="8">
        <v>75839</v>
      </c>
      <c r="AA13" s="8">
        <v>74248</v>
      </c>
      <c r="AB13" s="347">
        <v>74556</v>
      </c>
    </row>
    <row r="14" spans="1:31" x14ac:dyDescent="0.35">
      <c r="A14" s="105" t="s">
        <v>282</v>
      </c>
      <c r="B14" s="105" t="s">
        <v>283</v>
      </c>
      <c r="C14" s="165">
        <v>0</v>
      </c>
      <c r="D14" s="165" t="s">
        <v>178</v>
      </c>
      <c r="E14" s="165">
        <v>0</v>
      </c>
      <c r="F14" s="165">
        <v>0</v>
      </c>
      <c r="G14" s="165">
        <v>0</v>
      </c>
      <c r="H14" s="165">
        <v>0</v>
      </c>
      <c r="I14" s="165">
        <v>0</v>
      </c>
      <c r="J14" s="165">
        <v>0</v>
      </c>
      <c r="K14" s="165">
        <v>0</v>
      </c>
      <c r="L14" s="165">
        <v>0</v>
      </c>
      <c r="M14" s="165">
        <v>0</v>
      </c>
      <c r="N14" s="165">
        <v>38216</v>
      </c>
      <c r="O14" s="165">
        <v>36654</v>
      </c>
      <c r="P14" s="165">
        <v>51567</v>
      </c>
      <c r="Q14" s="165">
        <v>63839</v>
      </c>
      <c r="R14" s="165">
        <v>73274</v>
      </c>
      <c r="S14" s="165">
        <v>82297</v>
      </c>
      <c r="T14" s="165">
        <v>81877</v>
      </c>
      <c r="U14" s="165">
        <v>80486</v>
      </c>
      <c r="V14" s="8">
        <v>68193</v>
      </c>
      <c r="W14" s="8">
        <v>65113</v>
      </c>
      <c r="X14" s="347">
        <v>63354</v>
      </c>
      <c r="Y14" s="8">
        <v>68457</v>
      </c>
      <c r="Z14" s="8">
        <v>71739</v>
      </c>
      <c r="AA14" s="8">
        <v>103822</v>
      </c>
      <c r="AB14" s="347">
        <v>68107</v>
      </c>
    </row>
    <row r="15" spans="1:31" x14ac:dyDescent="0.35">
      <c r="A15" s="105" t="s">
        <v>284</v>
      </c>
      <c r="B15" s="105" t="s">
        <v>285</v>
      </c>
      <c r="C15" s="165">
        <v>0</v>
      </c>
      <c r="D15" s="165" t="s">
        <v>178</v>
      </c>
      <c r="E15" s="165">
        <v>0</v>
      </c>
      <c r="F15" s="165">
        <v>0</v>
      </c>
      <c r="G15" s="165">
        <v>0</v>
      </c>
      <c r="H15" s="165">
        <v>0</v>
      </c>
      <c r="I15" s="165">
        <v>0</v>
      </c>
      <c r="J15" s="165">
        <v>0</v>
      </c>
      <c r="K15" s="165">
        <v>0</v>
      </c>
      <c r="L15" s="165">
        <v>0</v>
      </c>
      <c r="M15" s="165">
        <v>0</v>
      </c>
      <c r="N15" s="165">
        <v>0</v>
      </c>
      <c r="O15" s="165">
        <v>0</v>
      </c>
      <c r="P15" s="165">
        <v>0</v>
      </c>
      <c r="Q15" s="165">
        <v>0</v>
      </c>
      <c r="R15" s="165">
        <v>0</v>
      </c>
      <c r="S15" s="165">
        <v>16789</v>
      </c>
      <c r="T15" s="165">
        <v>25199</v>
      </c>
      <c r="U15" s="165">
        <v>32346</v>
      </c>
      <c r="V15" s="8">
        <v>31446</v>
      </c>
      <c r="W15" s="8">
        <v>30068</v>
      </c>
      <c r="X15" s="347">
        <v>23911</v>
      </c>
      <c r="Y15" s="8">
        <v>25383</v>
      </c>
      <c r="Z15" s="8">
        <v>16327</v>
      </c>
      <c r="AA15" s="8">
        <v>18941</v>
      </c>
      <c r="AB15" s="347">
        <v>17475</v>
      </c>
    </row>
    <row r="16" spans="1:31" x14ac:dyDescent="0.35">
      <c r="A16" s="105" t="s">
        <v>286</v>
      </c>
      <c r="B16" s="105" t="s">
        <v>287</v>
      </c>
      <c r="C16" s="165">
        <v>10603</v>
      </c>
      <c r="D16" s="165">
        <v>10645</v>
      </c>
      <c r="E16" s="165">
        <v>9660</v>
      </c>
      <c r="F16" s="165">
        <v>7895</v>
      </c>
      <c r="G16" s="165">
        <v>8181</v>
      </c>
      <c r="H16" s="165">
        <v>8296</v>
      </c>
      <c r="I16" s="165">
        <v>6205</v>
      </c>
      <c r="J16" s="165">
        <v>6988</v>
      </c>
      <c r="K16" s="165">
        <v>6440</v>
      </c>
      <c r="L16" s="165">
        <v>8603</v>
      </c>
      <c r="M16" s="165">
        <v>7959</v>
      </c>
      <c r="N16" s="165">
        <v>7139</v>
      </c>
      <c r="O16" s="165">
        <v>8587</v>
      </c>
      <c r="P16" s="165">
        <v>8898</v>
      </c>
      <c r="Q16" s="165">
        <v>8576</v>
      </c>
      <c r="R16" s="165">
        <v>12285</v>
      </c>
      <c r="S16" s="165">
        <v>12457</v>
      </c>
      <c r="T16" s="165">
        <v>11510</v>
      </c>
      <c r="U16" s="165">
        <v>13077</v>
      </c>
      <c r="V16" s="8">
        <v>29373</v>
      </c>
      <c r="W16" s="8">
        <v>33080</v>
      </c>
      <c r="X16" s="347">
        <v>31936</v>
      </c>
      <c r="Y16" s="8">
        <v>17958</v>
      </c>
      <c r="Z16" s="8">
        <v>29244</v>
      </c>
      <c r="AA16" s="8">
        <v>27888</v>
      </c>
      <c r="AB16" s="347">
        <v>32213</v>
      </c>
    </row>
    <row r="17" spans="1:29" x14ac:dyDescent="0.35">
      <c r="A17" s="356" t="s">
        <v>288</v>
      </c>
      <c r="B17" s="356" t="s">
        <v>1148</v>
      </c>
      <c r="C17" s="338">
        <v>3087</v>
      </c>
      <c r="D17" s="338">
        <v>3130</v>
      </c>
      <c r="E17" s="338">
        <v>3907</v>
      </c>
      <c r="F17" s="338">
        <v>2626</v>
      </c>
      <c r="G17" s="338">
        <v>2410</v>
      </c>
      <c r="H17" s="338">
        <v>2537</v>
      </c>
      <c r="I17" s="338">
        <v>2265</v>
      </c>
      <c r="J17" s="338">
        <v>2021</v>
      </c>
      <c r="K17" s="338">
        <v>2342</v>
      </c>
      <c r="L17" s="338">
        <v>2075</v>
      </c>
      <c r="M17" s="338">
        <v>2416</v>
      </c>
      <c r="N17" s="338">
        <v>0</v>
      </c>
      <c r="O17" s="338">
        <v>0</v>
      </c>
      <c r="P17" s="338">
        <v>0</v>
      </c>
      <c r="Q17" s="338">
        <v>0</v>
      </c>
      <c r="R17" s="338">
        <v>0</v>
      </c>
      <c r="S17" s="338">
        <v>0</v>
      </c>
      <c r="T17" s="338">
        <v>0</v>
      </c>
      <c r="U17" s="338">
        <v>0</v>
      </c>
      <c r="V17" s="347">
        <v>0</v>
      </c>
      <c r="W17" s="347">
        <v>0</v>
      </c>
      <c r="X17" s="347">
        <v>0</v>
      </c>
      <c r="Y17" s="347">
        <v>0</v>
      </c>
      <c r="Z17" s="347">
        <v>0</v>
      </c>
      <c r="AA17" s="347">
        <v>0</v>
      </c>
      <c r="AB17" s="347">
        <v>0</v>
      </c>
    </row>
    <row r="18" spans="1:29" x14ac:dyDescent="0.35">
      <c r="A18" s="356" t="s">
        <v>290</v>
      </c>
      <c r="B18" s="356" t="s">
        <v>289</v>
      </c>
      <c r="C18" s="338">
        <v>0</v>
      </c>
      <c r="D18" s="338">
        <v>0</v>
      </c>
      <c r="E18" s="338">
        <v>8043</v>
      </c>
      <c r="F18" s="338">
        <v>6035</v>
      </c>
      <c r="G18" s="338">
        <v>6035</v>
      </c>
      <c r="H18" s="338">
        <v>6035</v>
      </c>
      <c r="I18" s="338">
        <v>4971</v>
      </c>
      <c r="J18" s="338">
        <v>2837</v>
      </c>
      <c r="K18" s="338">
        <v>2534</v>
      </c>
      <c r="L18" s="338">
        <v>1868</v>
      </c>
      <c r="M18" s="338">
        <v>848</v>
      </c>
      <c r="N18" s="338">
        <v>2547</v>
      </c>
      <c r="O18" s="338">
        <v>2776</v>
      </c>
      <c r="P18" s="338">
        <v>2783</v>
      </c>
      <c r="Q18" s="338">
        <v>2245</v>
      </c>
      <c r="R18" s="338">
        <v>2784</v>
      </c>
      <c r="S18" s="338">
        <v>2760</v>
      </c>
      <c r="T18" s="338">
        <v>3995</v>
      </c>
      <c r="U18" s="338">
        <v>3861</v>
      </c>
      <c r="V18" s="338">
        <v>3432</v>
      </c>
      <c r="W18" s="338">
        <v>3378</v>
      </c>
      <c r="X18" s="338">
        <v>2913</v>
      </c>
      <c r="Y18" s="338">
        <v>3287</v>
      </c>
      <c r="Z18" s="347">
        <v>4178</v>
      </c>
      <c r="AA18" s="347">
        <v>4206</v>
      </c>
      <c r="AB18" s="338">
        <v>7255</v>
      </c>
    </row>
    <row r="19" spans="1:29" x14ac:dyDescent="0.35">
      <c r="A19" s="102" t="s">
        <v>291</v>
      </c>
      <c r="B19" s="102" t="s">
        <v>292</v>
      </c>
      <c r="C19" s="165">
        <v>325839</v>
      </c>
      <c r="D19" s="165">
        <v>348283</v>
      </c>
      <c r="E19" s="165">
        <v>359481</v>
      </c>
      <c r="F19" s="165">
        <v>358071</v>
      </c>
      <c r="G19" s="165">
        <v>386161</v>
      </c>
      <c r="H19" s="165">
        <v>394903</v>
      </c>
      <c r="I19" s="165">
        <v>418998</v>
      </c>
      <c r="J19" s="165">
        <v>409580</v>
      </c>
      <c r="K19" s="165">
        <v>434713</v>
      </c>
      <c r="L19" s="165">
        <v>455981</v>
      </c>
      <c r="M19" s="165">
        <v>452534</v>
      </c>
      <c r="N19" s="165">
        <v>449518</v>
      </c>
      <c r="O19" s="165">
        <v>386338</v>
      </c>
      <c r="P19" s="165">
        <v>368960</v>
      </c>
      <c r="Q19" s="165">
        <v>418352</v>
      </c>
      <c r="R19" s="165">
        <v>412622</v>
      </c>
      <c r="S19" s="165">
        <v>429039</v>
      </c>
      <c r="T19" s="165">
        <v>520003</v>
      </c>
      <c r="U19" s="165">
        <v>602150</v>
      </c>
      <c r="V19" s="8">
        <v>575770</v>
      </c>
      <c r="W19" s="8">
        <v>573528</v>
      </c>
      <c r="X19" s="347">
        <f>SUM(X20:X30)</f>
        <v>493139</v>
      </c>
      <c r="Y19" s="8">
        <v>552247</v>
      </c>
      <c r="Z19" s="8">
        <v>534913</v>
      </c>
      <c r="AA19" s="8">
        <v>560997</v>
      </c>
      <c r="AB19" s="347">
        <f>SUM(AB20:AB30)</f>
        <v>545884</v>
      </c>
    </row>
    <row r="20" spans="1:29" x14ac:dyDescent="0.35">
      <c r="A20" s="105" t="s">
        <v>293</v>
      </c>
      <c r="B20" s="105" t="s">
        <v>294</v>
      </c>
      <c r="C20" s="165">
        <v>87930</v>
      </c>
      <c r="D20" s="165">
        <v>97093</v>
      </c>
      <c r="E20" s="165">
        <v>94006</v>
      </c>
      <c r="F20" s="165">
        <v>92687</v>
      </c>
      <c r="G20" s="165">
        <v>99486</v>
      </c>
      <c r="H20" s="165">
        <v>104763</v>
      </c>
      <c r="I20" s="165">
        <v>103689</v>
      </c>
      <c r="J20" s="165">
        <v>98995</v>
      </c>
      <c r="K20" s="165">
        <v>105548</v>
      </c>
      <c r="L20" s="165">
        <v>112926</v>
      </c>
      <c r="M20" s="165">
        <v>112978</v>
      </c>
      <c r="N20" s="165">
        <v>110059</v>
      </c>
      <c r="O20" s="165">
        <v>118924</v>
      </c>
      <c r="P20" s="165">
        <v>124250</v>
      </c>
      <c r="Q20" s="165">
        <v>127765</v>
      </c>
      <c r="R20" s="165">
        <v>131349</v>
      </c>
      <c r="S20" s="165">
        <v>139077</v>
      </c>
      <c r="T20" s="165">
        <v>166984</v>
      </c>
      <c r="U20" s="165">
        <v>170215</v>
      </c>
      <c r="V20" s="8">
        <v>153335</v>
      </c>
      <c r="W20" s="8">
        <v>164465</v>
      </c>
      <c r="X20" s="347">
        <v>167439</v>
      </c>
      <c r="Y20" s="8">
        <v>181342</v>
      </c>
      <c r="Z20" s="8">
        <v>177767</v>
      </c>
      <c r="AA20" s="8">
        <v>195987</v>
      </c>
      <c r="AB20" s="347">
        <v>205752</v>
      </c>
    </row>
    <row r="21" spans="1:29" x14ac:dyDescent="0.35">
      <c r="A21" s="105" t="s">
        <v>295</v>
      </c>
      <c r="B21" s="105" t="s">
        <v>296</v>
      </c>
      <c r="C21" s="165">
        <v>0</v>
      </c>
      <c r="D21" s="165" t="s">
        <v>178</v>
      </c>
      <c r="E21" s="165">
        <v>0</v>
      </c>
      <c r="F21" s="165">
        <v>1425</v>
      </c>
      <c r="G21" s="165">
        <v>1642</v>
      </c>
      <c r="H21" s="165">
        <v>1656</v>
      </c>
      <c r="I21" s="165">
        <v>1225</v>
      </c>
      <c r="J21" s="165">
        <v>3466</v>
      </c>
      <c r="K21" s="165">
        <v>2215</v>
      </c>
      <c r="L21" s="165">
        <v>2680</v>
      </c>
      <c r="M21" s="165">
        <v>2622</v>
      </c>
      <c r="N21" s="165">
        <v>3080</v>
      </c>
      <c r="O21" s="165">
        <v>3835</v>
      </c>
      <c r="P21" s="165">
        <v>3952</v>
      </c>
      <c r="Q21" s="165">
        <v>3004</v>
      </c>
      <c r="R21" s="165">
        <v>3865</v>
      </c>
      <c r="S21" s="165">
        <v>5422</v>
      </c>
      <c r="T21" s="165">
        <v>7809</v>
      </c>
      <c r="U21" s="165">
        <v>6605</v>
      </c>
      <c r="V21" s="8">
        <v>6150</v>
      </c>
      <c r="W21" s="8">
        <v>5063</v>
      </c>
      <c r="X21" s="347">
        <v>5897</v>
      </c>
      <c r="Y21" s="8">
        <v>6708</v>
      </c>
      <c r="Z21" s="8">
        <v>8103</v>
      </c>
      <c r="AA21" s="8">
        <v>7650</v>
      </c>
      <c r="AB21" s="347">
        <v>8483</v>
      </c>
    </row>
    <row r="22" spans="1:29" x14ac:dyDescent="0.35">
      <c r="A22" s="105" t="s">
        <v>297</v>
      </c>
      <c r="B22" s="105" t="s">
        <v>298</v>
      </c>
      <c r="C22" s="165">
        <v>115844</v>
      </c>
      <c r="D22" s="165">
        <v>122228</v>
      </c>
      <c r="E22" s="165">
        <v>115873</v>
      </c>
      <c r="F22" s="165">
        <v>129006</v>
      </c>
      <c r="G22" s="165">
        <v>136593</v>
      </c>
      <c r="H22" s="165">
        <v>137102</v>
      </c>
      <c r="I22" s="165">
        <v>151862</v>
      </c>
      <c r="J22" s="165">
        <v>154426</v>
      </c>
      <c r="K22" s="165">
        <v>147775</v>
      </c>
      <c r="L22" s="165">
        <v>155470</v>
      </c>
      <c r="M22" s="165">
        <v>145042</v>
      </c>
      <c r="N22" s="165">
        <v>152652</v>
      </c>
      <c r="O22" s="165">
        <v>136152</v>
      </c>
      <c r="P22" s="165">
        <v>157625</v>
      </c>
      <c r="Q22" s="165">
        <v>175935</v>
      </c>
      <c r="R22" s="165">
        <v>184760</v>
      </c>
      <c r="S22" s="165">
        <v>174458</v>
      </c>
      <c r="T22" s="165">
        <v>225607</v>
      </c>
      <c r="U22" s="165">
        <v>207486</v>
      </c>
      <c r="V22" s="8">
        <v>175182</v>
      </c>
      <c r="W22" s="8">
        <v>170284</v>
      </c>
      <c r="X22" s="347">
        <v>182444</v>
      </c>
      <c r="Y22" s="8">
        <v>205012</v>
      </c>
      <c r="Z22" s="8">
        <v>204968</v>
      </c>
      <c r="AA22" s="8">
        <v>211289</v>
      </c>
      <c r="AB22" s="347">
        <v>234136</v>
      </c>
    </row>
    <row r="23" spans="1:29" x14ac:dyDescent="0.35">
      <c r="A23" s="105" t="s">
        <v>299</v>
      </c>
      <c r="B23" s="105" t="s">
        <v>300</v>
      </c>
      <c r="C23" s="165">
        <v>17448</v>
      </c>
      <c r="D23" s="165">
        <v>19252</v>
      </c>
      <c r="E23" s="165">
        <v>19374</v>
      </c>
      <c r="F23" s="165">
        <v>16187</v>
      </c>
      <c r="G23" s="165">
        <v>16264</v>
      </c>
      <c r="H23" s="165">
        <v>17203</v>
      </c>
      <c r="I23" s="165">
        <v>22523</v>
      </c>
      <c r="J23" s="165">
        <v>21376</v>
      </c>
      <c r="K23" s="165">
        <v>28363</v>
      </c>
      <c r="L23" s="165">
        <v>20836</v>
      </c>
      <c r="M23" s="165">
        <v>23822</v>
      </c>
      <c r="N23" s="165">
        <v>27162</v>
      </c>
      <c r="O23" s="165">
        <v>26628</v>
      </c>
      <c r="P23" s="165">
        <v>25747</v>
      </c>
      <c r="Q23" s="165">
        <v>29326</v>
      </c>
      <c r="R23" s="165">
        <v>30474</v>
      </c>
      <c r="S23" s="165">
        <v>24675</v>
      </c>
      <c r="T23" s="165">
        <v>48101</v>
      </c>
      <c r="U23" s="165">
        <v>51124</v>
      </c>
      <c r="V23" s="8">
        <v>41120</v>
      </c>
      <c r="W23" s="8">
        <v>40604</v>
      </c>
      <c r="X23" s="347">
        <v>41226</v>
      </c>
      <c r="Y23" s="8">
        <v>43026</v>
      </c>
      <c r="Z23" s="8">
        <v>44538</v>
      </c>
      <c r="AA23" s="8">
        <v>39291</v>
      </c>
      <c r="AB23" s="347">
        <v>36305</v>
      </c>
    </row>
    <row r="24" spans="1:29" x14ac:dyDescent="0.35">
      <c r="A24" s="105" t="s">
        <v>301</v>
      </c>
      <c r="B24" s="105" t="s">
        <v>302</v>
      </c>
      <c r="C24" s="165">
        <v>1583</v>
      </c>
      <c r="D24" s="165">
        <v>1756</v>
      </c>
      <c r="E24" s="165">
        <v>18932</v>
      </c>
      <c r="F24" s="165">
        <v>4728</v>
      </c>
      <c r="G24" s="165">
        <v>1431</v>
      </c>
      <c r="H24" s="165">
        <v>1447</v>
      </c>
      <c r="I24" s="165">
        <v>1576</v>
      </c>
      <c r="J24" s="165">
        <v>1545</v>
      </c>
      <c r="K24" s="165">
        <v>1719</v>
      </c>
      <c r="L24" s="165">
        <v>7442</v>
      </c>
      <c r="M24" s="165">
        <v>16205</v>
      </c>
      <c r="N24" s="165">
        <v>0</v>
      </c>
      <c r="O24" s="165">
        <v>0</v>
      </c>
      <c r="P24" s="165">
        <v>0</v>
      </c>
      <c r="Q24" s="165">
        <v>0</v>
      </c>
      <c r="R24" s="165">
        <v>0</v>
      </c>
      <c r="S24" s="165">
        <v>0</v>
      </c>
      <c r="T24" s="165">
        <v>0</v>
      </c>
      <c r="U24" s="165">
        <v>0</v>
      </c>
      <c r="V24" s="165">
        <v>0</v>
      </c>
      <c r="W24" s="165">
        <v>0</v>
      </c>
      <c r="X24" s="338">
        <v>0</v>
      </c>
      <c r="Y24" s="8"/>
      <c r="Z24" s="8">
        <v>0</v>
      </c>
      <c r="AA24" s="8">
        <v>0</v>
      </c>
      <c r="AB24" s="338">
        <v>0</v>
      </c>
    </row>
    <row r="25" spans="1:29" x14ac:dyDescent="0.35">
      <c r="A25" s="105" t="s">
        <v>303</v>
      </c>
      <c r="B25" s="105" t="s">
        <v>304</v>
      </c>
      <c r="C25" s="165">
        <v>0</v>
      </c>
      <c r="D25" s="165" t="s">
        <v>178</v>
      </c>
      <c r="E25" s="165">
        <v>0</v>
      </c>
      <c r="F25" s="165">
        <v>0</v>
      </c>
      <c r="G25" s="165">
        <v>0</v>
      </c>
      <c r="H25" s="165">
        <v>0</v>
      </c>
      <c r="I25" s="165">
        <v>0</v>
      </c>
      <c r="J25" s="165">
        <v>0</v>
      </c>
      <c r="K25" s="165">
        <v>0</v>
      </c>
      <c r="L25" s="165">
        <v>0</v>
      </c>
      <c r="M25" s="165">
        <v>0</v>
      </c>
      <c r="N25" s="165">
        <v>371</v>
      </c>
      <c r="O25" s="165">
        <v>371</v>
      </c>
      <c r="P25" s="165">
        <v>9314</v>
      </c>
      <c r="Q25" s="165">
        <v>21524</v>
      </c>
      <c r="R25" s="165">
        <v>912</v>
      </c>
      <c r="S25" s="165">
        <v>8077</v>
      </c>
      <c r="T25" s="165">
        <v>10379</v>
      </c>
      <c r="U25" s="165">
        <v>21948</v>
      </c>
      <c r="V25" s="8">
        <v>44716</v>
      </c>
      <c r="W25" s="8">
        <v>31758</v>
      </c>
      <c r="X25" s="347">
        <v>4415</v>
      </c>
      <c r="Y25" s="8">
        <v>4755</v>
      </c>
      <c r="Z25" s="8">
        <v>6239</v>
      </c>
      <c r="AA25" s="8">
        <v>6417</v>
      </c>
      <c r="AB25" s="347">
        <v>934</v>
      </c>
    </row>
    <row r="26" spans="1:29" x14ac:dyDescent="0.35">
      <c r="A26" s="105" t="s">
        <v>305</v>
      </c>
      <c r="B26" s="105" t="s">
        <v>306</v>
      </c>
      <c r="C26" s="165">
        <v>0</v>
      </c>
      <c r="D26" s="165" t="s">
        <v>178</v>
      </c>
      <c r="E26" s="165">
        <v>0</v>
      </c>
      <c r="F26" s="165">
        <v>0</v>
      </c>
      <c r="G26" s="165">
        <v>0</v>
      </c>
      <c r="H26" s="165">
        <v>0</v>
      </c>
      <c r="I26" s="165">
        <v>0</v>
      </c>
      <c r="J26" s="165">
        <v>0</v>
      </c>
      <c r="K26" s="165">
        <v>0</v>
      </c>
      <c r="L26" s="165">
        <v>0</v>
      </c>
      <c r="M26" s="165">
        <v>0</v>
      </c>
      <c r="N26" s="165">
        <v>7142</v>
      </c>
      <c r="O26" s="165">
        <v>2003</v>
      </c>
      <c r="P26" s="165">
        <v>1670</v>
      </c>
      <c r="Q26" s="165" t="s">
        <v>178</v>
      </c>
      <c r="R26" s="165">
        <v>296</v>
      </c>
      <c r="S26" s="165">
        <v>2218</v>
      </c>
      <c r="T26" s="165" t="s">
        <v>178</v>
      </c>
      <c r="U26" s="165">
        <v>3663</v>
      </c>
      <c r="V26" s="8">
        <v>1536</v>
      </c>
      <c r="W26" s="8">
        <v>1536</v>
      </c>
      <c r="X26" s="347">
        <v>2876</v>
      </c>
      <c r="Y26" s="8">
        <v>2971</v>
      </c>
      <c r="Z26" s="8">
        <v>1454</v>
      </c>
      <c r="AA26" s="8">
        <v>1487</v>
      </c>
      <c r="AB26" s="347" t="s">
        <v>1176</v>
      </c>
    </row>
    <row r="27" spans="1:29" x14ac:dyDescent="0.35">
      <c r="A27" s="105" t="s">
        <v>284</v>
      </c>
      <c r="B27" s="105" t="s">
        <v>285</v>
      </c>
      <c r="C27" s="165">
        <v>0</v>
      </c>
      <c r="D27" s="165" t="s">
        <v>178</v>
      </c>
      <c r="E27" s="165">
        <v>0</v>
      </c>
      <c r="F27" s="165">
        <v>0</v>
      </c>
      <c r="G27" s="165">
        <v>0</v>
      </c>
      <c r="H27" s="165">
        <v>0</v>
      </c>
      <c r="I27" s="165">
        <v>0</v>
      </c>
      <c r="J27" s="165">
        <v>0</v>
      </c>
      <c r="K27" s="165">
        <v>0</v>
      </c>
      <c r="L27" s="165">
        <v>0</v>
      </c>
      <c r="M27" s="165">
        <v>0</v>
      </c>
      <c r="N27" s="165">
        <v>0</v>
      </c>
      <c r="O27" s="165">
        <v>0</v>
      </c>
      <c r="P27" s="165">
        <v>0</v>
      </c>
      <c r="Q27" s="165">
        <v>0</v>
      </c>
      <c r="R27" s="165">
        <v>0</v>
      </c>
      <c r="S27" s="165">
        <v>0</v>
      </c>
      <c r="T27" s="165">
        <v>0</v>
      </c>
      <c r="U27" s="165">
        <v>462</v>
      </c>
      <c r="V27" s="8">
        <v>2154</v>
      </c>
      <c r="W27" s="8">
        <v>10747</v>
      </c>
      <c r="X27" s="347">
        <v>12453</v>
      </c>
      <c r="Y27" s="8">
        <v>5771</v>
      </c>
      <c r="Z27" s="8">
        <v>9662</v>
      </c>
      <c r="AA27" s="8">
        <v>3398</v>
      </c>
      <c r="AB27" s="347">
        <v>1728</v>
      </c>
    </row>
    <row r="28" spans="1:29" x14ac:dyDescent="0.35">
      <c r="A28" s="105" t="s">
        <v>307</v>
      </c>
      <c r="B28" s="105" t="s">
        <v>308</v>
      </c>
      <c r="C28" s="165">
        <v>1317</v>
      </c>
      <c r="D28" s="165">
        <v>653</v>
      </c>
      <c r="E28" s="165">
        <v>1233</v>
      </c>
      <c r="F28" s="165">
        <v>1017</v>
      </c>
      <c r="G28" s="165">
        <v>1882</v>
      </c>
      <c r="H28" s="165">
        <v>857</v>
      </c>
      <c r="I28" s="165">
        <v>1123</v>
      </c>
      <c r="J28" s="165">
        <v>1199</v>
      </c>
      <c r="K28" s="165">
        <v>1728</v>
      </c>
      <c r="L28" s="165">
        <v>567</v>
      </c>
      <c r="M28" s="165">
        <v>749</v>
      </c>
      <c r="N28" s="165">
        <v>1196</v>
      </c>
      <c r="O28" s="165">
        <v>1582</v>
      </c>
      <c r="P28" s="165">
        <v>262</v>
      </c>
      <c r="Q28" s="165">
        <v>1553</v>
      </c>
      <c r="R28" s="165">
        <v>1110</v>
      </c>
      <c r="S28" s="165">
        <v>1083</v>
      </c>
      <c r="T28" s="165">
        <v>1365</v>
      </c>
      <c r="U28" s="8">
        <v>-672</v>
      </c>
      <c r="V28" s="8">
        <v>4844</v>
      </c>
      <c r="W28" s="8">
        <v>5071</v>
      </c>
      <c r="X28" s="347">
        <v>4357</v>
      </c>
      <c r="Y28" s="8">
        <v>4411</v>
      </c>
      <c r="Z28" s="8">
        <v>1689</v>
      </c>
      <c r="AA28" s="8">
        <v>1384</v>
      </c>
      <c r="AB28" s="347">
        <v>1626</v>
      </c>
    </row>
    <row r="29" spans="1:29" x14ac:dyDescent="0.35">
      <c r="A29" s="105" t="s">
        <v>309</v>
      </c>
      <c r="B29" s="105" t="s">
        <v>310</v>
      </c>
      <c r="C29" s="165">
        <v>101717</v>
      </c>
      <c r="D29" s="165">
        <v>107301</v>
      </c>
      <c r="E29" s="165">
        <v>110063</v>
      </c>
      <c r="F29" s="165">
        <v>113021</v>
      </c>
      <c r="G29" s="165">
        <v>128863</v>
      </c>
      <c r="H29" s="165">
        <v>131875</v>
      </c>
      <c r="I29" s="165">
        <v>137000</v>
      </c>
      <c r="J29" s="165">
        <v>128573</v>
      </c>
      <c r="K29" s="165">
        <v>147365</v>
      </c>
      <c r="L29" s="165">
        <v>156060</v>
      </c>
      <c r="M29" s="165">
        <v>151116</v>
      </c>
      <c r="N29" s="165">
        <v>142068</v>
      </c>
      <c r="O29" s="165">
        <v>91447</v>
      </c>
      <c r="P29" s="165">
        <v>40836</v>
      </c>
      <c r="Q29" s="165">
        <v>59245</v>
      </c>
      <c r="R29" s="165">
        <v>59856</v>
      </c>
      <c r="S29" s="165">
        <v>74029</v>
      </c>
      <c r="T29" s="165">
        <v>59758</v>
      </c>
      <c r="U29" s="165">
        <v>71788</v>
      </c>
      <c r="V29" s="8">
        <v>79719</v>
      </c>
      <c r="W29" s="8">
        <v>85992</v>
      </c>
      <c r="X29" s="347">
        <v>72032</v>
      </c>
      <c r="Y29" s="8">
        <v>98251</v>
      </c>
      <c r="Z29" s="8">
        <v>80493</v>
      </c>
      <c r="AA29" s="8">
        <v>94094</v>
      </c>
      <c r="AB29" s="347">
        <v>56920</v>
      </c>
    </row>
    <row r="30" spans="1:29" x14ac:dyDescent="0.35">
      <c r="A30" s="105" t="s">
        <v>311</v>
      </c>
      <c r="B30" s="105" t="s">
        <v>312</v>
      </c>
      <c r="C30" s="165">
        <v>0</v>
      </c>
      <c r="D30" s="165" t="s">
        <v>178</v>
      </c>
      <c r="E30" s="165">
        <v>0</v>
      </c>
      <c r="F30" s="165">
        <v>0</v>
      </c>
      <c r="G30" s="165">
        <v>0</v>
      </c>
      <c r="H30" s="165">
        <v>0</v>
      </c>
      <c r="I30" s="165">
        <v>0</v>
      </c>
      <c r="J30" s="165">
        <v>0</v>
      </c>
      <c r="K30" s="165">
        <v>0</v>
      </c>
      <c r="L30" s="165">
        <v>0</v>
      </c>
      <c r="M30" s="165">
        <v>0</v>
      </c>
      <c r="N30" s="165">
        <v>5788</v>
      </c>
      <c r="O30" s="165">
        <v>5396</v>
      </c>
      <c r="P30" s="165">
        <v>5304</v>
      </c>
      <c r="Q30" s="165" t="s">
        <v>178</v>
      </c>
      <c r="R30" s="165" t="s">
        <v>178</v>
      </c>
      <c r="S30" s="165" t="s">
        <v>178</v>
      </c>
      <c r="T30" s="165" t="s">
        <v>178</v>
      </c>
      <c r="U30" s="165">
        <v>69531</v>
      </c>
      <c r="V30" s="8">
        <v>67014</v>
      </c>
      <c r="W30" s="8">
        <v>58008</v>
      </c>
      <c r="X30" s="347" t="s">
        <v>178</v>
      </c>
      <c r="Y30" s="8" t="s">
        <v>178</v>
      </c>
      <c r="Z30" s="8">
        <v>0</v>
      </c>
      <c r="AA30" s="8">
        <v>0</v>
      </c>
      <c r="AB30" s="347" t="s">
        <v>178</v>
      </c>
    </row>
    <row r="31" spans="1:29" ht="15" customHeight="1" x14ac:dyDescent="0.35">
      <c r="A31" s="111" t="s">
        <v>313</v>
      </c>
      <c r="B31" s="111" t="s">
        <v>314</v>
      </c>
      <c r="C31" s="150">
        <v>776474</v>
      </c>
      <c r="D31" s="150">
        <v>807702</v>
      </c>
      <c r="E31" s="150">
        <v>818879</v>
      </c>
      <c r="F31" s="150">
        <v>797883</v>
      </c>
      <c r="G31" s="150">
        <v>839219</v>
      </c>
      <c r="H31" s="150">
        <v>852877</v>
      </c>
      <c r="I31" s="150">
        <v>882032</v>
      </c>
      <c r="J31" s="150">
        <v>858651</v>
      </c>
      <c r="K31" s="150">
        <v>882991</v>
      </c>
      <c r="L31" s="150">
        <v>907347</v>
      </c>
      <c r="M31" s="150">
        <v>929317</v>
      </c>
      <c r="N31" s="150">
        <v>948589</v>
      </c>
      <c r="O31" s="150">
        <v>966713</v>
      </c>
      <c r="P31" s="150">
        <v>1040822</v>
      </c>
      <c r="Q31" s="150">
        <v>1113759</v>
      </c>
      <c r="R31" s="150">
        <v>1145282</v>
      </c>
      <c r="S31" s="150">
        <v>1174146</v>
      </c>
      <c r="T31" s="150">
        <v>1287057</v>
      </c>
      <c r="U31" s="150">
        <v>1385033</v>
      </c>
      <c r="V31" s="150">
        <v>1353784</v>
      </c>
      <c r="W31" s="150">
        <v>1382920</v>
      </c>
      <c r="X31" s="445">
        <f>X32+X43+X51</f>
        <v>1278238</v>
      </c>
      <c r="Y31" s="150">
        <v>1357434</v>
      </c>
      <c r="Z31" s="150">
        <v>1361217</v>
      </c>
      <c r="AA31" s="150">
        <v>1422139</v>
      </c>
      <c r="AB31" s="445">
        <f>AB32+AB43+AB51</f>
        <v>1458693</v>
      </c>
      <c r="AC31" s="20"/>
    </row>
    <row r="32" spans="1:29" x14ac:dyDescent="0.35">
      <c r="A32" s="102" t="s">
        <v>315</v>
      </c>
      <c r="B32" s="102" t="s">
        <v>316</v>
      </c>
      <c r="C32" s="165">
        <v>678544</v>
      </c>
      <c r="D32" s="165">
        <v>698226</v>
      </c>
      <c r="E32" s="165">
        <v>701825</v>
      </c>
      <c r="F32" s="8">
        <v>685745</v>
      </c>
      <c r="G32" s="8">
        <v>713452</v>
      </c>
      <c r="H32" s="8">
        <v>714449</v>
      </c>
      <c r="I32" s="8">
        <v>746238</v>
      </c>
      <c r="J32" s="8">
        <v>724873</v>
      </c>
      <c r="K32" s="8">
        <v>755030</v>
      </c>
      <c r="L32" s="8">
        <v>777243</v>
      </c>
      <c r="M32" s="8">
        <v>796429</v>
      </c>
      <c r="N32" s="8">
        <v>813939</v>
      </c>
      <c r="O32" s="8">
        <v>842310</v>
      </c>
      <c r="P32" s="8">
        <v>827018</v>
      </c>
      <c r="Q32" s="8">
        <v>871406</v>
      </c>
      <c r="R32" s="8">
        <v>923022</v>
      </c>
      <c r="S32" s="8">
        <v>953704</v>
      </c>
      <c r="T32" s="8">
        <v>1018673</v>
      </c>
      <c r="U32" s="8">
        <v>1106697</v>
      </c>
      <c r="V32" s="8">
        <v>1073847</v>
      </c>
      <c r="W32" s="8">
        <v>1111660</v>
      </c>
      <c r="X32" s="347">
        <f>SUM(X33:X42)</f>
        <v>1063218</v>
      </c>
      <c r="Y32" s="8">
        <v>1095004</v>
      </c>
      <c r="Z32" s="8">
        <v>1142581</v>
      </c>
      <c r="AA32" s="8">
        <v>1197727</v>
      </c>
      <c r="AB32" s="347">
        <f>SUM(AB33:AB42)</f>
        <v>1173215</v>
      </c>
    </row>
    <row r="33" spans="1:28" x14ac:dyDescent="0.35">
      <c r="A33" s="105" t="s">
        <v>317</v>
      </c>
      <c r="B33" s="105" t="s">
        <v>318</v>
      </c>
      <c r="C33" s="165">
        <v>18638</v>
      </c>
      <c r="D33" s="165">
        <v>18638</v>
      </c>
      <c r="E33" s="165">
        <v>18638</v>
      </c>
      <c r="F33" s="8">
        <v>18638</v>
      </c>
      <c r="G33" s="8">
        <v>18638</v>
      </c>
      <c r="H33" s="8">
        <v>18638</v>
      </c>
      <c r="I33" s="8">
        <v>18638</v>
      </c>
      <c r="J33" s="8">
        <v>18638</v>
      </c>
      <c r="K33" s="8">
        <v>18638</v>
      </c>
      <c r="L33" s="8">
        <v>18638</v>
      </c>
      <c r="M33" s="8">
        <v>18638</v>
      </c>
      <c r="N33" s="8">
        <v>18638</v>
      </c>
      <c r="O33" s="8">
        <v>18638</v>
      </c>
      <c r="P33" s="8">
        <v>18638</v>
      </c>
      <c r="Q33" s="8">
        <v>18638</v>
      </c>
      <c r="R33" s="8">
        <v>18638</v>
      </c>
      <c r="S33" s="8">
        <v>18638</v>
      </c>
      <c r="T33" s="8">
        <v>18638</v>
      </c>
      <c r="U33" s="8">
        <v>18638</v>
      </c>
      <c r="V33" s="8">
        <v>18638</v>
      </c>
      <c r="W33" s="8">
        <v>18638</v>
      </c>
      <c r="X33" s="347">
        <v>18638</v>
      </c>
      <c r="Y33" s="8">
        <v>18638</v>
      </c>
      <c r="Z33" s="8">
        <v>18638</v>
      </c>
      <c r="AA33" s="8">
        <v>18638</v>
      </c>
      <c r="AB33" s="347">
        <v>18638</v>
      </c>
    </row>
    <row r="34" spans="1:28" x14ac:dyDescent="0.35">
      <c r="A34" s="105" t="s">
        <v>319</v>
      </c>
      <c r="B34" s="105" t="s">
        <v>320</v>
      </c>
      <c r="C34" s="8">
        <v>-434</v>
      </c>
      <c r="D34" s="8">
        <v>-2293</v>
      </c>
      <c r="E34" s="8">
        <v>-2300</v>
      </c>
      <c r="F34" s="8">
        <v>-2186</v>
      </c>
      <c r="G34" s="8">
        <v>-2209</v>
      </c>
      <c r="H34" s="8">
        <v>-2186</v>
      </c>
      <c r="I34" s="8">
        <v>-2202</v>
      </c>
      <c r="J34" s="8">
        <v>-3870</v>
      </c>
      <c r="K34" s="8">
        <v>-3894</v>
      </c>
      <c r="L34" s="8">
        <v>-3886</v>
      </c>
      <c r="M34" s="8">
        <v>-3924</v>
      </c>
      <c r="N34" s="8">
        <v>-3791</v>
      </c>
      <c r="O34" s="8">
        <v>-4627</v>
      </c>
      <c r="P34" s="8">
        <v>-4644</v>
      </c>
      <c r="Q34" s="8">
        <v>-4684</v>
      </c>
      <c r="R34" s="8">
        <v>-2862</v>
      </c>
      <c r="S34" s="8">
        <v>-2941</v>
      </c>
      <c r="T34" s="8">
        <v>-2955</v>
      </c>
      <c r="U34" s="8">
        <v>-3005</v>
      </c>
      <c r="V34" s="8">
        <v>-2123</v>
      </c>
      <c r="W34" s="8">
        <v>-2791</v>
      </c>
      <c r="X34" s="347">
        <v>-10021</v>
      </c>
      <c r="Y34" s="8">
        <v>-19614</v>
      </c>
      <c r="Z34" s="8">
        <v>-29982</v>
      </c>
      <c r="AA34" s="8">
        <v>-36959</v>
      </c>
      <c r="AB34" s="347">
        <v>-36892</v>
      </c>
    </row>
    <row r="35" spans="1:28" x14ac:dyDescent="0.35">
      <c r="A35" s="105" t="s">
        <v>321</v>
      </c>
      <c r="B35" s="105" t="s">
        <v>322</v>
      </c>
      <c r="C35" s="165">
        <v>15214</v>
      </c>
      <c r="D35" s="165">
        <v>15214</v>
      </c>
      <c r="E35" s="165">
        <v>15214</v>
      </c>
      <c r="F35" s="8">
        <v>15214</v>
      </c>
      <c r="G35" s="8">
        <v>15214</v>
      </c>
      <c r="H35" s="8">
        <v>15214</v>
      </c>
      <c r="I35" s="8">
        <v>15214</v>
      </c>
      <c r="J35" s="8">
        <v>15214</v>
      </c>
      <c r="K35" s="8">
        <v>15214</v>
      </c>
      <c r="L35" s="8">
        <v>15214</v>
      </c>
      <c r="M35" s="8">
        <v>15214</v>
      </c>
      <c r="N35" s="8">
        <v>15214</v>
      </c>
      <c r="O35" s="8">
        <v>15214</v>
      </c>
      <c r="P35" s="8">
        <v>15214</v>
      </c>
      <c r="Q35" s="8">
        <v>15214</v>
      </c>
      <c r="R35" s="8">
        <v>15214</v>
      </c>
      <c r="S35" s="8">
        <v>15214</v>
      </c>
      <c r="T35" s="8">
        <v>15214</v>
      </c>
      <c r="U35" s="8">
        <v>15214</v>
      </c>
      <c r="V35" s="8">
        <v>15214</v>
      </c>
      <c r="W35" s="8">
        <v>15214</v>
      </c>
      <c r="X35" s="347">
        <v>15214</v>
      </c>
      <c r="Y35" s="8">
        <v>15214</v>
      </c>
      <c r="Z35" s="8">
        <v>15214</v>
      </c>
      <c r="AA35" s="8">
        <v>15214</v>
      </c>
      <c r="AB35" s="347">
        <v>15214</v>
      </c>
    </row>
    <row r="36" spans="1:28" x14ac:dyDescent="0.35">
      <c r="A36" s="105" t="s">
        <v>323</v>
      </c>
      <c r="B36" s="105" t="s">
        <v>324</v>
      </c>
      <c r="C36" s="165">
        <v>3475</v>
      </c>
      <c r="D36" s="165">
        <v>3475</v>
      </c>
      <c r="E36" s="165">
        <v>3475</v>
      </c>
      <c r="F36" s="8">
        <v>3475</v>
      </c>
      <c r="G36" s="8">
        <v>3475</v>
      </c>
      <c r="H36" s="8">
        <v>3475</v>
      </c>
      <c r="I36" s="8">
        <v>3475</v>
      </c>
      <c r="J36" s="8">
        <v>3475</v>
      </c>
      <c r="K36" s="8">
        <v>3475</v>
      </c>
      <c r="L36" s="8">
        <v>3475</v>
      </c>
      <c r="M36" s="8">
        <v>3475</v>
      </c>
      <c r="N36" s="8">
        <v>3475</v>
      </c>
      <c r="O36" s="8">
        <v>3475</v>
      </c>
      <c r="P36" s="8">
        <v>3475</v>
      </c>
      <c r="Q36" s="8">
        <v>3475</v>
      </c>
      <c r="R36" s="8">
        <v>3475</v>
      </c>
      <c r="S36" s="8">
        <v>3475</v>
      </c>
      <c r="T36" s="8">
        <v>3475</v>
      </c>
      <c r="U36" s="8">
        <v>3475</v>
      </c>
      <c r="V36" s="8">
        <v>3475</v>
      </c>
      <c r="W36" s="8">
        <v>3475</v>
      </c>
      <c r="X36" s="347">
        <v>3475</v>
      </c>
      <c r="Y36" s="8">
        <v>3475</v>
      </c>
      <c r="Z36" s="8">
        <v>3475</v>
      </c>
      <c r="AA36" s="8">
        <v>3475</v>
      </c>
      <c r="AB36" s="347">
        <v>3475</v>
      </c>
    </row>
    <row r="37" spans="1:28" x14ac:dyDescent="0.35">
      <c r="A37" s="105" t="s">
        <v>325</v>
      </c>
      <c r="B37" s="105" t="s">
        <v>326</v>
      </c>
      <c r="C37" s="165">
        <v>10326</v>
      </c>
      <c r="D37" s="165">
        <v>21308</v>
      </c>
      <c r="E37" s="165">
        <v>16989</v>
      </c>
      <c r="F37" s="8">
        <v>14182</v>
      </c>
      <c r="G37" s="8">
        <v>18088</v>
      </c>
      <c r="H37" s="8">
        <v>18850</v>
      </c>
      <c r="I37" s="8">
        <v>26442</v>
      </c>
      <c r="J37" s="8">
        <v>22213</v>
      </c>
      <c r="K37" s="8">
        <v>23023</v>
      </c>
      <c r="L37" s="8">
        <v>24788</v>
      </c>
      <c r="M37" s="8">
        <v>21466</v>
      </c>
      <c r="N37" s="8">
        <v>21039</v>
      </c>
      <c r="O37" s="8">
        <v>23202</v>
      </c>
      <c r="P37" s="8">
        <v>19912</v>
      </c>
      <c r="Q37" s="8">
        <v>24945</v>
      </c>
      <c r="R37" s="8">
        <v>29363</v>
      </c>
      <c r="S37" s="8">
        <v>26313</v>
      </c>
      <c r="T37" s="8">
        <v>65953</v>
      </c>
      <c r="U37" s="8">
        <v>76700</v>
      </c>
      <c r="V37" s="8">
        <v>47846</v>
      </c>
      <c r="W37" s="8">
        <v>44492</v>
      </c>
      <c r="X37" s="347">
        <v>43968</v>
      </c>
      <c r="Y37" s="8">
        <v>46005</v>
      </c>
      <c r="Z37" s="8">
        <v>49533</v>
      </c>
      <c r="AA37" s="8">
        <v>46673</v>
      </c>
      <c r="AB37" s="347">
        <v>46655</v>
      </c>
    </row>
    <row r="38" spans="1:28" x14ac:dyDescent="0.35">
      <c r="A38" s="105" t="s">
        <v>327</v>
      </c>
      <c r="B38" s="105" t="s">
        <v>328</v>
      </c>
      <c r="C38" s="165">
        <v>8472</v>
      </c>
      <c r="D38" s="165">
        <v>6333</v>
      </c>
      <c r="E38" s="165">
        <v>5165</v>
      </c>
      <c r="F38" s="8">
        <v>4810</v>
      </c>
      <c r="G38" s="165">
        <v>0</v>
      </c>
      <c r="H38" s="165">
        <v>0</v>
      </c>
      <c r="I38" s="165">
        <v>0</v>
      </c>
      <c r="J38" s="165">
        <v>0</v>
      </c>
      <c r="K38" s="165">
        <v>0</v>
      </c>
      <c r="L38" s="165">
        <v>0</v>
      </c>
      <c r="M38" s="165">
        <v>0</v>
      </c>
      <c r="N38" s="165">
        <v>0</v>
      </c>
      <c r="O38" s="165">
        <v>0</v>
      </c>
      <c r="P38" s="165">
        <v>0</v>
      </c>
      <c r="Q38" s="165">
        <v>0</v>
      </c>
      <c r="R38" s="165">
        <v>0</v>
      </c>
      <c r="S38" s="165">
        <v>0</v>
      </c>
      <c r="T38" s="165">
        <v>0</v>
      </c>
      <c r="U38" s="165">
        <v>0</v>
      </c>
      <c r="V38" s="165">
        <v>0</v>
      </c>
      <c r="W38" s="165">
        <v>0</v>
      </c>
      <c r="X38" s="338">
        <v>0</v>
      </c>
      <c r="Y38" s="8">
        <v>0</v>
      </c>
      <c r="Z38" s="8">
        <v>0</v>
      </c>
      <c r="AA38" s="8">
        <v>0</v>
      </c>
      <c r="AB38" s="338">
        <v>0</v>
      </c>
    </row>
    <row r="39" spans="1:28" x14ac:dyDescent="0.35">
      <c r="A39" s="105" t="s">
        <v>329</v>
      </c>
      <c r="B39" s="105" t="s">
        <v>330</v>
      </c>
      <c r="C39" s="165">
        <v>0</v>
      </c>
      <c r="D39" s="165" t="s">
        <v>178</v>
      </c>
      <c r="E39" s="165">
        <v>0</v>
      </c>
      <c r="F39" s="165">
        <v>0</v>
      </c>
      <c r="G39" s="165">
        <v>6469</v>
      </c>
      <c r="H39" s="165">
        <v>6987</v>
      </c>
      <c r="I39" s="165">
        <v>8214</v>
      </c>
      <c r="J39" s="165">
        <v>8620</v>
      </c>
      <c r="K39" s="165">
        <v>593</v>
      </c>
      <c r="L39" s="165">
        <v>957</v>
      </c>
      <c r="M39" s="165">
        <v>1004</v>
      </c>
      <c r="N39" s="165">
        <v>974</v>
      </c>
      <c r="O39" s="165">
        <v>571</v>
      </c>
      <c r="P39" s="8">
        <v>1725</v>
      </c>
      <c r="Q39" s="8">
        <v>2605</v>
      </c>
      <c r="R39" s="8">
        <v>1346</v>
      </c>
      <c r="S39" s="8">
        <v>-2060</v>
      </c>
      <c r="T39" s="8">
        <v>-8400</v>
      </c>
      <c r="U39" s="8">
        <v>-9501</v>
      </c>
      <c r="V39" s="8">
        <v>-339</v>
      </c>
      <c r="W39" s="8">
        <v>-3374</v>
      </c>
      <c r="X39" s="347">
        <v>-3628</v>
      </c>
      <c r="Y39" s="8">
        <v>6</v>
      </c>
      <c r="Z39" s="8">
        <v>1999</v>
      </c>
      <c r="AA39" s="8">
        <v>1179</v>
      </c>
      <c r="AB39" s="347">
        <v>4491</v>
      </c>
    </row>
    <row r="40" spans="1:28" x14ac:dyDescent="0.35">
      <c r="A40" s="105" t="s">
        <v>331</v>
      </c>
      <c r="B40" s="105" t="s">
        <v>332</v>
      </c>
      <c r="C40" s="165">
        <v>0</v>
      </c>
      <c r="D40" s="165" t="s">
        <v>178</v>
      </c>
      <c r="E40" s="165">
        <v>0</v>
      </c>
      <c r="F40" s="165">
        <v>0</v>
      </c>
      <c r="G40" s="165">
        <v>0</v>
      </c>
      <c r="H40" s="165">
        <v>0</v>
      </c>
      <c r="I40" s="165">
        <v>0</v>
      </c>
      <c r="J40" s="165">
        <v>0</v>
      </c>
      <c r="K40" s="165">
        <v>0</v>
      </c>
      <c r="L40" s="165">
        <v>0</v>
      </c>
      <c r="M40" s="165">
        <v>0</v>
      </c>
      <c r="N40" s="165">
        <v>0</v>
      </c>
      <c r="O40" s="165">
        <v>0</v>
      </c>
      <c r="P40" s="165">
        <v>0</v>
      </c>
      <c r="Q40" s="165">
        <v>0</v>
      </c>
      <c r="R40" s="8">
        <v>-23</v>
      </c>
      <c r="S40" s="8">
        <v>-1178</v>
      </c>
      <c r="T40" s="8">
        <v>-8406</v>
      </c>
      <c r="U40" s="8">
        <v>-13736</v>
      </c>
      <c r="V40" s="8">
        <v>820</v>
      </c>
      <c r="W40" s="8">
        <v>6730</v>
      </c>
      <c r="X40" s="347">
        <v>8684</v>
      </c>
      <c r="Y40" s="8">
        <v>2315</v>
      </c>
      <c r="Z40" s="8">
        <v>6546</v>
      </c>
      <c r="AA40" s="8">
        <v>-256</v>
      </c>
      <c r="AB40" s="347">
        <v>-919</v>
      </c>
    </row>
    <row r="41" spans="1:28" x14ac:dyDescent="0.35">
      <c r="A41" s="105" t="s">
        <v>333</v>
      </c>
      <c r="B41" s="105" t="s">
        <v>334</v>
      </c>
      <c r="C41" s="165">
        <v>618464</v>
      </c>
      <c r="D41" s="165">
        <v>630504</v>
      </c>
      <c r="E41" s="165">
        <v>639506</v>
      </c>
      <c r="F41" s="8">
        <v>626052</v>
      </c>
      <c r="G41" s="8">
        <v>648515</v>
      </c>
      <c r="H41" s="8">
        <v>647806</v>
      </c>
      <c r="I41" s="8">
        <v>670426</v>
      </c>
      <c r="J41" s="8">
        <v>653691</v>
      </c>
      <c r="K41" s="8">
        <v>690373</v>
      </c>
      <c r="L41" s="8">
        <v>709900</v>
      </c>
      <c r="M41" s="8">
        <v>732169</v>
      </c>
      <c r="N41" s="8">
        <v>751408</v>
      </c>
      <c r="O41" s="8">
        <v>778730</v>
      </c>
      <c r="P41" s="8">
        <v>765246</v>
      </c>
      <c r="Q41" s="8">
        <v>803859</v>
      </c>
      <c r="R41" s="8">
        <v>849735</v>
      </c>
      <c r="S41" s="8">
        <v>887236</v>
      </c>
      <c r="T41" s="8">
        <v>924624</v>
      </c>
      <c r="U41" s="8">
        <v>1007854</v>
      </c>
      <c r="V41" s="8">
        <v>979870</v>
      </c>
      <c r="W41" s="8">
        <v>1019566</v>
      </c>
      <c r="X41" s="347">
        <v>976113</v>
      </c>
      <c r="Y41" s="8">
        <v>1017447</v>
      </c>
      <c r="Z41" s="8">
        <v>1065391</v>
      </c>
      <c r="AA41" s="8">
        <v>1134160</v>
      </c>
      <c r="AB41" s="347">
        <v>1118947</v>
      </c>
    </row>
    <row r="42" spans="1:28" x14ac:dyDescent="0.35">
      <c r="A42" s="105" t="s">
        <v>203</v>
      </c>
      <c r="B42" s="105" t="s">
        <v>335</v>
      </c>
      <c r="C42" s="165">
        <v>4389</v>
      </c>
      <c r="D42" s="165">
        <v>5047</v>
      </c>
      <c r="E42" s="165">
        <v>5138</v>
      </c>
      <c r="F42" s="8">
        <v>5560</v>
      </c>
      <c r="G42" s="8">
        <v>5262</v>
      </c>
      <c r="H42" s="8">
        <v>5665</v>
      </c>
      <c r="I42" s="8">
        <v>6031</v>
      </c>
      <c r="J42" s="8">
        <v>6892</v>
      </c>
      <c r="K42" s="8">
        <v>7608</v>
      </c>
      <c r="L42" s="8">
        <v>8157</v>
      </c>
      <c r="M42" s="8">
        <v>8387</v>
      </c>
      <c r="N42" s="8">
        <v>6982</v>
      </c>
      <c r="O42" s="8">
        <v>7107</v>
      </c>
      <c r="P42" s="8">
        <v>7452</v>
      </c>
      <c r="Q42" s="8">
        <v>7354</v>
      </c>
      <c r="R42" s="8">
        <v>8136</v>
      </c>
      <c r="S42" s="8">
        <v>9007</v>
      </c>
      <c r="T42" s="8">
        <v>10530</v>
      </c>
      <c r="U42" s="8">
        <v>11058</v>
      </c>
      <c r="V42" s="8">
        <v>10446</v>
      </c>
      <c r="W42" s="8">
        <v>9710</v>
      </c>
      <c r="X42" s="347">
        <v>10775</v>
      </c>
      <c r="Y42" s="8">
        <v>11518</v>
      </c>
      <c r="Z42" s="8">
        <v>11767</v>
      </c>
      <c r="AA42" s="8">
        <v>12603</v>
      </c>
      <c r="AB42" s="347">
        <v>3606</v>
      </c>
    </row>
    <row r="43" spans="1:28" x14ac:dyDescent="0.35">
      <c r="A43" s="102" t="s">
        <v>336</v>
      </c>
      <c r="B43" s="102" t="s">
        <v>337</v>
      </c>
      <c r="C43" s="165">
        <v>15345</v>
      </c>
      <c r="D43" s="165">
        <v>15709</v>
      </c>
      <c r="E43" s="165">
        <v>23535</v>
      </c>
      <c r="F43" s="8">
        <v>19987</v>
      </c>
      <c r="G43" s="8">
        <v>29687</v>
      </c>
      <c r="H43" s="8">
        <v>31967</v>
      </c>
      <c r="I43" s="8">
        <v>30820</v>
      </c>
      <c r="J43" s="8">
        <v>24216</v>
      </c>
      <c r="K43" s="8">
        <v>23951</v>
      </c>
      <c r="L43" s="8">
        <v>21905</v>
      </c>
      <c r="M43" s="8">
        <v>23479</v>
      </c>
      <c r="N43" s="8">
        <v>26712</v>
      </c>
      <c r="O43" s="8">
        <v>27407</v>
      </c>
      <c r="P43" s="8">
        <v>96665</v>
      </c>
      <c r="Q43" s="8">
        <v>94178</v>
      </c>
      <c r="R43" s="8">
        <v>99047</v>
      </c>
      <c r="S43" s="8">
        <v>100710</v>
      </c>
      <c r="T43" s="8">
        <v>110562</v>
      </c>
      <c r="U43" s="8">
        <v>107334</v>
      </c>
      <c r="V43" s="8">
        <v>100430</v>
      </c>
      <c r="W43" s="8">
        <v>99631</v>
      </c>
      <c r="X43" s="8">
        <v>97943</v>
      </c>
      <c r="Y43" s="8">
        <v>104170</v>
      </c>
      <c r="Z43" s="8">
        <v>104128</v>
      </c>
      <c r="AA43" s="8">
        <v>105987</v>
      </c>
      <c r="AB43" s="347">
        <f>SUM(AB44:AB50)</f>
        <v>118176</v>
      </c>
    </row>
    <row r="44" spans="1:28" x14ac:dyDescent="0.35">
      <c r="A44" s="105" t="s">
        <v>338</v>
      </c>
      <c r="B44" s="105" t="s">
        <v>339</v>
      </c>
      <c r="C44" s="165">
        <v>56</v>
      </c>
      <c r="D44" s="165">
        <v>3</v>
      </c>
      <c r="E44" s="165">
        <v>2</v>
      </c>
      <c r="F44" s="8">
        <v>2</v>
      </c>
      <c r="G44" s="8">
        <v>16</v>
      </c>
      <c r="H44" s="8">
        <v>30</v>
      </c>
      <c r="I44" s="8" t="s">
        <v>178</v>
      </c>
      <c r="J44" s="8"/>
      <c r="K44" s="165">
        <v>0</v>
      </c>
      <c r="L44" s="165">
        <v>0</v>
      </c>
      <c r="M44" s="165">
        <v>0</v>
      </c>
      <c r="N44" s="165">
        <v>0</v>
      </c>
      <c r="O44" s="165">
        <v>0</v>
      </c>
      <c r="P44" s="165">
        <v>0</v>
      </c>
      <c r="Q44" s="165">
        <v>0</v>
      </c>
      <c r="R44" s="165">
        <v>0</v>
      </c>
      <c r="S44" s="165">
        <v>0</v>
      </c>
      <c r="T44" s="165">
        <v>0</v>
      </c>
      <c r="U44" s="165">
        <v>0</v>
      </c>
      <c r="V44" s="165">
        <v>0</v>
      </c>
      <c r="W44" s="165">
        <v>0</v>
      </c>
      <c r="X44" s="165">
        <v>0</v>
      </c>
      <c r="Y44" s="8"/>
      <c r="Z44" s="8">
        <v>182</v>
      </c>
      <c r="AA44" s="8">
        <v>183</v>
      </c>
      <c r="AB44" s="338">
        <v>357</v>
      </c>
    </row>
    <row r="45" spans="1:28" x14ac:dyDescent="0.35">
      <c r="A45" s="105" t="s">
        <v>340</v>
      </c>
      <c r="B45" s="105" t="s">
        <v>341</v>
      </c>
      <c r="C45" s="165">
        <v>7886</v>
      </c>
      <c r="D45" s="165">
        <v>8244</v>
      </c>
      <c r="E45" s="165">
        <v>8035</v>
      </c>
      <c r="F45" s="8">
        <v>7176</v>
      </c>
      <c r="G45" s="8">
        <v>7041</v>
      </c>
      <c r="H45" s="8">
        <v>6931</v>
      </c>
      <c r="I45" s="8">
        <v>6962</v>
      </c>
      <c r="J45" s="8">
        <v>1925</v>
      </c>
      <c r="K45" s="8">
        <v>1212</v>
      </c>
      <c r="L45" s="8">
        <v>1060</v>
      </c>
      <c r="M45" s="8">
        <v>1118</v>
      </c>
      <c r="N45" s="8">
        <v>1753</v>
      </c>
      <c r="O45" s="8">
        <v>1300</v>
      </c>
      <c r="P45" s="8">
        <v>1542</v>
      </c>
      <c r="Q45" s="8">
        <v>1517</v>
      </c>
      <c r="R45" s="8">
        <v>3798</v>
      </c>
      <c r="S45" s="8">
        <v>4161</v>
      </c>
      <c r="T45" s="8">
        <v>4252</v>
      </c>
      <c r="U45" s="8">
        <v>4663</v>
      </c>
      <c r="V45" s="8">
        <v>3928</v>
      </c>
      <c r="W45" s="8">
        <v>4228</v>
      </c>
      <c r="X45" s="8">
        <v>4198</v>
      </c>
      <c r="Y45" s="8">
        <v>4346</v>
      </c>
      <c r="Z45" s="8">
        <v>3824</v>
      </c>
      <c r="AA45" s="8">
        <v>4456</v>
      </c>
      <c r="AB45" s="347">
        <v>11285</v>
      </c>
    </row>
    <row r="46" spans="1:28" x14ac:dyDescent="0.35">
      <c r="A46" s="105" t="s">
        <v>342</v>
      </c>
      <c r="B46" s="105" t="s">
        <v>343</v>
      </c>
      <c r="C46" s="165">
        <v>0</v>
      </c>
      <c r="D46" s="165" t="s">
        <v>178</v>
      </c>
      <c r="E46" s="165">
        <v>0</v>
      </c>
      <c r="F46" s="165">
        <v>0</v>
      </c>
      <c r="G46" s="165">
        <v>0</v>
      </c>
      <c r="H46" s="165">
        <v>0</v>
      </c>
      <c r="I46" s="165">
        <v>0</v>
      </c>
      <c r="J46" s="165">
        <v>0</v>
      </c>
      <c r="K46" s="165">
        <v>0</v>
      </c>
      <c r="L46" s="165">
        <v>0</v>
      </c>
      <c r="M46" s="165">
        <v>0</v>
      </c>
      <c r="N46" s="165">
        <v>805</v>
      </c>
      <c r="O46" s="165">
        <v>0</v>
      </c>
      <c r="P46" s="8">
        <v>64064</v>
      </c>
      <c r="Q46" s="8">
        <v>62578</v>
      </c>
      <c r="R46" s="8">
        <v>63819</v>
      </c>
      <c r="S46" s="8">
        <v>56139</v>
      </c>
      <c r="T46" s="8">
        <v>43604</v>
      </c>
      <c r="U46" s="8">
        <v>40017</v>
      </c>
      <c r="V46" s="8">
        <v>41516</v>
      </c>
      <c r="W46" s="8">
        <v>43285</v>
      </c>
      <c r="X46" s="8">
        <v>48181</v>
      </c>
      <c r="Y46" s="8">
        <v>48111</v>
      </c>
      <c r="Z46" s="8">
        <v>54467</v>
      </c>
      <c r="AA46" s="8">
        <v>51440</v>
      </c>
      <c r="AB46" s="347">
        <v>58092</v>
      </c>
    </row>
    <row r="47" spans="1:28" x14ac:dyDescent="0.35">
      <c r="A47" s="105" t="s">
        <v>344</v>
      </c>
      <c r="B47" s="105" t="s">
        <v>345</v>
      </c>
      <c r="C47" s="165">
        <v>0</v>
      </c>
      <c r="D47" s="165" t="s">
        <v>178</v>
      </c>
      <c r="E47" s="165">
        <v>0</v>
      </c>
      <c r="F47" s="165">
        <v>0</v>
      </c>
      <c r="G47" s="165">
        <v>0</v>
      </c>
      <c r="H47" s="165">
        <v>0</v>
      </c>
      <c r="I47" s="165">
        <v>0</v>
      </c>
      <c r="J47" s="165">
        <v>0</v>
      </c>
      <c r="K47" s="165">
        <v>0</v>
      </c>
      <c r="L47" s="165">
        <v>0</v>
      </c>
      <c r="M47" s="165">
        <v>0</v>
      </c>
      <c r="N47" s="165">
        <v>10754</v>
      </c>
      <c r="O47" s="165">
        <v>0</v>
      </c>
      <c r="P47" s="8">
        <v>10927</v>
      </c>
      <c r="Q47" s="8">
        <v>11367</v>
      </c>
      <c r="R47" s="8">
        <v>12722</v>
      </c>
      <c r="S47" s="8">
        <v>12191</v>
      </c>
      <c r="T47" s="8">
        <v>13257</v>
      </c>
      <c r="U47" s="8">
        <v>12287</v>
      </c>
      <c r="V47" s="8">
        <v>10789</v>
      </c>
      <c r="W47" s="8">
        <v>9664</v>
      </c>
      <c r="X47" s="8">
        <v>9858</v>
      </c>
      <c r="Y47" s="8">
        <v>12595</v>
      </c>
      <c r="Z47" s="8">
        <v>13817</v>
      </c>
      <c r="AA47" s="8">
        <v>13887</v>
      </c>
      <c r="AB47" s="347">
        <v>14856</v>
      </c>
    </row>
    <row r="48" spans="1:28" x14ac:dyDescent="0.35">
      <c r="A48" s="105" t="s">
        <v>284</v>
      </c>
      <c r="B48" s="105" t="s">
        <v>285</v>
      </c>
      <c r="C48" s="165">
        <v>0</v>
      </c>
      <c r="D48" s="165" t="s">
        <v>178</v>
      </c>
      <c r="E48" s="165">
        <v>0</v>
      </c>
      <c r="F48" s="165">
        <v>0</v>
      </c>
      <c r="G48" s="165">
        <v>0</v>
      </c>
      <c r="H48" s="165">
        <v>0</v>
      </c>
      <c r="I48" s="165">
        <v>0</v>
      </c>
      <c r="J48" s="165">
        <v>0</v>
      </c>
      <c r="K48" s="165">
        <v>0</v>
      </c>
      <c r="L48" s="165">
        <v>0</v>
      </c>
      <c r="M48" s="165">
        <v>0</v>
      </c>
      <c r="N48" s="165">
        <v>0</v>
      </c>
      <c r="O48" s="165">
        <v>0</v>
      </c>
      <c r="P48" s="165">
        <v>0</v>
      </c>
      <c r="Q48" s="165">
        <v>0</v>
      </c>
      <c r="R48" s="165">
        <v>0</v>
      </c>
      <c r="S48" s="165">
        <v>8518</v>
      </c>
      <c r="T48" s="165">
        <v>27882</v>
      </c>
      <c r="U48" s="165">
        <v>30324</v>
      </c>
      <c r="V48" s="8">
        <v>25484</v>
      </c>
      <c r="W48" s="8">
        <v>24012</v>
      </c>
      <c r="X48" s="8">
        <v>18133</v>
      </c>
      <c r="Y48" s="8">
        <v>21130</v>
      </c>
      <c r="Z48" s="8">
        <v>11413</v>
      </c>
      <c r="AA48" s="8">
        <v>15492</v>
      </c>
      <c r="AB48" s="347">
        <v>13719</v>
      </c>
    </row>
    <row r="49" spans="1:28" x14ac:dyDescent="0.35">
      <c r="A49" s="105" t="s">
        <v>346</v>
      </c>
      <c r="B49" s="105" t="s">
        <v>347</v>
      </c>
      <c r="C49" s="165">
        <v>4117</v>
      </c>
      <c r="D49" s="165">
        <v>4154</v>
      </c>
      <c r="E49" s="165">
        <v>12208</v>
      </c>
      <c r="F49" s="8">
        <v>9255</v>
      </c>
      <c r="G49" s="8">
        <v>19094</v>
      </c>
      <c r="H49" s="8">
        <v>21468</v>
      </c>
      <c r="I49" s="8">
        <v>20330</v>
      </c>
      <c r="J49" s="8">
        <v>18004</v>
      </c>
      <c r="K49" s="8">
        <v>18419</v>
      </c>
      <c r="L49" s="8">
        <v>16533</v>
      </c>
      <c r="M49" s="8">
        <v>17264</v>
      </c>
      <c r="N49" s="8">
        <v>6747</v>
      </c>
      <c r="O49" s="8">
        <v>19490</v>
      </c>
      <c r="P49" s="8">
        <v>13544</v>
      </c>
      <c r="Q49" s="8">
        <v>12158</v>
      </c>
      <c r="R49" s="8">
        <v>12830</v>
      </c>
      <c r="S49" s="8">
        <v>13510</v>
      </c>
      <c r="T49" s="8">
        <v>15280</v>
      </c>
      <c r="U49" s="8">
        <v>14272</v>
      </c>
      <c r="V49" s="8">
        <v>13634</v>
      </c>
      <c r="W49" s="8">
        <v>13476</v>
      </c>
      <c r="X49" s="8">
        <v>12595</v>
      </c>
      <c r="Y49" s="8">
        <v>12448</v>
      </c>
      <c r="Z49" s="8">
        <v>13866</v>
      </c>
      <c r="AA49" s="8">
        <v>13908</v>
      </c>
      <c r="AB49" s="347">
        <v>13449</v>
      </c>
    </row>
    <row r="50" spans="1:28" x14ac:dyDescent="0.35">
      <c r="A50" s="105" t="s">
        <v>348</v>
      </c>
      <c r="B50" s="105" t="s">
        <v>349</v>
      </c>
      <c r="C50" s="165">
        <v>3286</v>
      </c>
      <c r="D50" s="165">
        <v>3308</v>
      </c>
      <c r="E50" s="165">
        <v>3290</v>
      </c>
      <c r="F50" s="8">
        <v>3554</v>
      </c>
      <c r="G50" s="8">
        <v>3536</v>
      </c>
      <c r="H50" s="8">
        <v>3538</v>
      </c>
      <c r="I50" s="8">
        <v>3528</v>
      </c>
      <c r="J50" s="8">
        <v>4287</v>
      </c>
      <c r="K50" s="8">
        <v>4320</v>
      </c>
      <c r="L50" s="8">
        <v>4312</v>
      </c>
      <c r="M50" s="8">
        <v>5097</v>
      </c>
      <c r="N50" s="8">
        <v>6653</v>
      </c>
      <c r="O50" s="8">
        <v>6617</v>
      </c>
      <c r="P50" s="8">
        <v>6588</v>
      </c>
      <c r="Q50" s="8">
        <v>6558</v>
      </c>
      <c r="R50" s="8">
        <v>5878</v>
      </c>
      <c r="S50" s="8">
        <v>6191</v>
      </c>
      <c r="T50" s="8">
        <v>6287</v>
      </c>
      <c r="U50" s="8">
        <v>5771</v>
      </c>
      <c r="V50" s="8">
        <v>5079</v>
      </c>
      <c r="W50" s="8">
        <v>4966</v>
      </c>
      <c r="X50" s="8">
        <v>4978</v>
      </c>
      <c r="Y50" s="8">
        <v>5540</v>
      </c>
      <c r="Z50" s="8">
        <v>6559</v>
      </c>
      <c r="AA50" s="8">
        <v>6621</v>
      </c>
      <c r="AB50" s="347">
        <v>6418</v>
      </c>
    </row>
    <row r="51" spans="1:28" x14ac:dyDescent="0.35">
      <c r="A51" s="102" t="s">
        <v>350</v>
      </c>
      <c r="B51" s="102" t="s">
        <v>351</v>
      </c>
      <c r="C51" s="165">
        <v>82585</v>
      </c>
      <c r="D51" s="165">
        <v>93767</v>
      </c>
      <c r="E51" s="165">
        <v>93519</v>
      </c>
      <c r="F51" s="8">
        <v>92151</v>
      </c>
      <c r="G51" s="8">
        <v>96080</v>
      </c>
      <c r="H51" s="8">
        <v>106461</v>
      </c>
      <c r="I51" s="8">
        <v>104974</v>
      </c>
      <c r="J51" s="8">
        <v>109562</v>
      </c>
      <c r="K51" s="8">
        <v>104010</v>
      </c>
      <c r="L51" s="8">
        <v>108199</v>
      </c>
      <c r="M51" s="8">
        <v>109409</v>
      </c>
      <c r="N51" s="8">
        <v>107938</v>
      </c>
      <c r="O51" s="8">
        <v>96996</v>
      </c>
      <c r="P51" s="8">
        <v>117139</v>
      </c>
      <c r="Q51" s="8">
        <v>148175</v>
      </c>
      <c r="R51" s="8">
        <v>123213</v>
      </c>
      <c r="S51" s="8">
        <v>119732</v>
      </c>
      <c r="T51" s="8">
        <v>157822</v>
      </c>
      <c r="U51" s="8">
        <v>171002</v>
      </c>
      <c r="V51" s="8">
        <v>179507</v>
      </c>
      <c r="W51" s="8">
        <v>171629</v>
      </c>
      <c r="X51" s="8">
        <v>117077</v>
      </c>
      <c r="Y51" s="8">
        <v>158260</v>
      </c>
      <c r="Z51" s="8">
        <v>114508</v>
      </c>
      <c r="AA51" s="8">
        <v>118425</v>
      </c>
      <c r="AB51" s="347">
        <f>SUM(AB52:AB61)</f>
        <v>167302</v>
      </c>
    </row>
    <row r="52" spans="1:28" x14ac:dyDescent="0.35">
      <c r="A52" s="105" t="s">
        <v>338</v>
      </c>
      <c r="B52" s="105" t="s">
        <v>339</v>
      </c>
      <c r="C52" s="165">
        <v>0</v>
      </c>
      <c r="D52" s="165" t="s">
        <v>178</v>
      </c>
      <c r="E52" s="165">
        <v>0</v>
      </c>
      <c r="F52" s="8" t="s">
        <v>178</v>
      </c>
      <c r="G52" s="165">
        <v>0</v>
      </c>
      <c r="H52" s="165">
        <v>0</v>
      </c>
      <c r="I52" s="165">
        <v>0</v>
      </c>
      <c r="J52" s="165">
        <v>0</v>
      </c>
      <c r="K52" s="165">
        <v>0</v>
      </c>
      <c r="L52" s="165">
        <v>0</v>
      </c>
      <c r="M52" s="165">
        <v>0</v>
      </c>
      <c r="N52" s="165">
        <v>0</v>
      </c>
      <c r="O52" s="165">
        <v>0</v>
      </c>
      <c r="P52" s="8">
        <v>10027</v>
      </c>
      <c r="Q52" s="8">
        <v>28673</v>
      </c>
      <c r="R52" s="165">
        <v>0</v>
      </c>
      <c r="S52" s="165">
        <v>0</v>
      </c>
      <c r="T52" s="165">
        <v>1203</v>
      </c>
      <c r="U52" s="8" t="s">
        <v>178</v>
      </c>
      <c r="V52" s="8" t="s">
        <v>178</v>
      </c>
      <c r="W52" s="8" t="s">
        <v>178</v>
      </c>
      <c r="X52" s="8" t="s">
        <v>178</v>
      </c>
      <c r="Y52" s="8">
        <v>20035</v>
      </c>
      <c r="Z52" s="8">
        <v>0</v>
      </c>
      <c r="AA52" s="8">
        <v>0</v>
      </c>
      <c r="AB52" s="347">
        <v>35624</v>
      </c>
    </row>
    <row r="53" spans="1:28" x14ac:dyDescent="0.35">
      <c r="A53" s="105" t="s">
        <v>352</v>
      </c>
      <c r="B53" s="105" t="s">
        <v>353</v>
      </c>
      <c r="C53" s="165">
        <v>39467</v>
      </c>
      <c r="D53" s="165">
        <v>46088</v>
      </c>
      <c r="E53" s="165">
        <v>47809</v>
      </c>
      <c r="F53" s="8">
        <v>54549</v>
      </c>
      <c r="G53" s="8">
        <v>47208</v>
      </c>
      <c r="H53" s="8">
        <v>53684</v>
      </c>
      <c r="I53" s="8">
        <v>54236</v>
      </c>
      <c r="J53" s="8">
        <v>61770</v>
      </c>
      <c r="K53" s="8">
        <v>55610</v>
      </c>
      <c r="L53" s="8">
        <v>53325</v>
      </c>
      <c r="M53" s="8">
        <v>53486</v>
      </c>
      <c r="N53" s="8">
        <v>65838</v>
      </c>
      <c r="O53" s="8">
        <v>53285</v>
      </c>
      <c r="P53" s="8">
        <v>58281</v>
      </c>
      <c r="Q53" s="8">
        <v>62706</v>
      </c>
      <c r="R53" s="8">
        <v>79638</v>
      </c>
      <c r="S53" s="8">
        <v>69909</v>
      </c>
      <c r="T53" s="8">
        <v>83000</v>
      </c>
      <c r="U53" s="8">
        <v>40485</v>
      </c>
      <c r="V53" s="8">
        <v>46092</v>
      </c>
      <c r="W53" s="8">
        <v>35711</v>
      </c>
      <c r="X53" s="8">
        <v>42061</v>
      </c>
      <c r="Y53" s="8">
        <v>39296</v>
      </c>
      <c r="Z53" s="8">
        <v>51301</v>
      </c>
      <c r="AA53" s="8">
        <v>36581</v>
      </c>
      <c r="AB53" s="347">
        <v>45316</v>
      </c>
    </row>
    <row r="54" spans="1:28" x14ac:dyDescent="0.35">
      <c r="A54" s="105" t="s">
        <v>354</v>
      </c>
      <c r="B54" s="105" t="s">
        <v>355</v>
      </c>
      <c r="C54" s="165">
        <v>0</v>
      </c>
      <c r="D54" s="165" t="s">
        <v>178</v>
      </c>
      <c r="E54" s="165">
        <v>0</v>
      </c>
      <c r="F54" s="8">
        <v>85</v>
      </c>
      <c r="G54" s="8">
        <v>84</v>
      </c>
      <c r="H54" s="8">
        <v>85</v>
      </c>
      <c r="I54" s="8">
        <v>89</v>
      </c>
      <c r="J54" s="8">
        <v>745</v>
      </c>
      <c r="K54" s="8" t="s">
        <v>178</v>
      </c>
      <c r="L54" s="8" t="s">
        <v>178</v>
      </c>
      <c r="M54" s="8" t="s">
        <v>178</v>
      </c>
      <c r="N54" s="8">
        <v>772</v>
      </c>
      <c r="O54" s="8">
        <v>1191</v>
      </c>
      <c r="P54" s="8">
        <v>1138</v>
      </c>
      <c r="Q54" s="8">
        <v>1750</v>
      </c>
      <c r="R54" s="8">
        <v>1593</v>
      </c>
      <c r="S54" s="8">
        <v>2266</v>
      </c>
      <c r="T54" s="8">
        <v>2213</v>
      </c>
      <c r="U54" s="8">
        <v>2344</v>
      </c>
      <c r="V54" s="8">
        <v>1931</v>
      </c>
      <c r="W54" s="8">
        <v>2765</v>
      </c>
      <c r="X54" s="8">
        <v>1474</v>
      </c>
      <c r="Y54" s="8">
        <v>1995</v>
      </c>
      <c r="Z54" s="8">
        <v>2347</v>
      </c>
      <c r="AA54" s="8">
        <v>1809</v>
      </c>
      <c r="AB54" s="347">
        <v>1741</v>
      </c>
    </row>
    <row r="55" spans="1:28" x14ac:dyDescent="0.35">
      <c r="A55" s="105" t="s">
        <v>356</v>
      </c>
      <c r="B55" s="105" t="s">
        <v>357</v>
      </c>
      <c r="C55" s="165">
        <v>606</v>
      </c>
      <c r="D55" s="165">
        <v>601</v>
      </c>
      <c r="E55" s="165">
        <v>561</v>
      </c>
      <c r="F55" s="8">
        <v>438</v>
      </c>
      <c r="G55" s="8">
        <v>640</v>
      </c>
      <c r="H55" s="8">
        <v>712</v>
      </c>
      <c r="I55" s="8">
        <v>262</v>
      </c>
      <c r="J55" s="8">
        <v>382</v>
      </c>
      <c r="K55" s="8">
        <v>544</v>
      </c>
      <c r="L55" s="8">
        <v>212</v>
      </c>
      <c r="M55" s="8">
        <v>351</v>
      </c>
      <c r="N55" s="8">
        <v>1993</v>
      </c>
      <c r="O55" s="8">
        <v>1205</v>
      </c>
      <c r="P55" s="8">
        <v>706</v>
      </c>
      <c r="Q55" s="8">
        <v>1305</v>
      </c>
      <c r="R55" s="8">
        <v>2722</v>
      </c>
      <c r="S55" s="8">
        <v>1919</v>
      </c>
      <c r="T55" s="8">
        <v>4151</v>
      </c>
      <c r="U55" s="8">
        <v>3211</v>
      </c>
      <c r="V55" s="8">
        <v>3848</v>
      </c>
      <c r="W55" s="8">
        <v>3490</v>
      </c>
      <c r="X55" s="8">
        <v>4244</v>
      </c>
      <c r="Y55" s="8">
        <v>2256</v>
      </c>
      <c r="Z55" s="8">
        <v>1974</v>
      </c>
      <c r="AA55" s="8">
        <v>9007</v>
      </c>
      <c r="AB55" s="347">
        <v>14663</v>
      </c>
    </row>
    <row r="56" spans="1:28" x14ac:dyDescent="0.35">
      <c r="A56" s="105" t="s">
        <v>358</v>
      </c>
      <c r="B56" s="105" t="s">
        <v>359</v>
      </c>
      <c r="C56" s="165">
        <v>0</v>
      </c>
      <c r="D56" s="165" t="s">
        <v>178</v>
      </c>
      <c r="E56" s="165">
        <v>0</v>
      </c>
      <c r="F56" s="165">
        <v>0</v>
      </c>
      <c r="G56" s="165">
        <v>0</v>
      </c>
      <c r="H56" s="165">
        <v>0</v>
      </c>
      <c r="I56" s="165">
        <v>0</v>
      </c>
      <c r="J56" s="165">
        <v>0</v>
      </c>
      <c r="K56" s="165">
        <v>0</v>
      </c>
      <c r="L56" s="165">
        <v>0</v>
      </c>
      <c r="M56" s="165">
        <v>0</v>
      </c>
      <c r="N56" s="165">
        <v>4014</v>
      </c>
      <c r="O56" s="165">
        <v>0</v>
      </c>
      <c r="P56" s="8">
        <v>1353</v>
      </c>
      <c r="Q56" s="8">
        <v>2977</v>
      </c>
      <c r="R56" s="8">
        <v>3277</v>
      </c>
      <c r="S56" s="8">
        <v>2696</v>
      </c>
      <c r="T56" s="8">
        <v>1013</v>
      </c>
      <c r="U56" s="8">
        <v>2499</v>
      </c>
      <c r="V56" s="8">
        <v>2855</v>
      </c>
      <c r="W56" s="8">
        <v>2035</v>
      </c>
      <c r="X56" s="8">
        <v>2536</v>
      </c>
      <c r="Y56" s="8">
        <v>2788</v>
      </c>
      <c r="Z56" s="8">
        <v>2722</v>
      </c>
      <c r="AA56" s="8">
        <v>2410</v>
      </c>
      <c r="AB56" s="347">
        <v>2689</v>
      </c>
    </row>
    <row r="57" spans="1:28" x14ac:dyDescent="0.35">
      <c r="A57" s="105" t="s">
        <v>284</v>
      </c>
      <c r="B57" s="105" t="s">
        <v>285</v>
      </c>
      <c r="C57" s="165">
        <v>0</v>
      </c>
      <c r="D57" s="165" t="s">
        <v>178</v>
      </c>
      <c r="E57" s="165">
        <v>0</v>
      </c>
      <c r="F57" s="165">
        <v>0</v>
      </c>
      <c r="G57" s="165">
        <v>0</v>
      </c>
      <c r="H57" s="165">
        <v>0</v>
      </c>
      <c r="I57" s="165">
        <v>0</v>
      </c>
      <c r="J57" s="165">
        <v>0</v>
      </c>
      <c r="K57" s="165">
        <v>0</v>
      </c>
      <c r="L57" s="165">
        <v>0</v>
      </c>
      <c r="M57" s="165">
        <v>0</v>
      </c>
      <c r="N57" s="165">
        <v>0</v>
      </c>
      <c r="O57" s="165">
        <v>0</v>
      </c>
      <c r="P57" s="165">
        <v>0</v>
      </c>
      <c r="Q57" s="165">
        <v>0</v>
      </c>
      <c r="R57" s="165">
        <v>0</v>
      </c>
      <c r="S57" s="165">
        <v>85</v>
      </c>
      <c r="T57" s="165">
        <v>11600</v>
      </c>
      <c r="U57" s="165">
        <v>18430</v>
      </c>
      <c r="V57" s="8">
        <v>4786</v>
      </c>
      <c r="W57" s="8">
        <v>721</v>
      </c>
      <c r="X57" s="8">
        <v>365</v>
      </c>
      <c r="Y57" s="8">
        <v>2063</v>
      </c>
      <c r="Z57" s="8">
        <v>935</v>
      </c>
      <c r="AA57" s="8">
        <v>2033</v>
      </c>
      <c r="AB57" s="347">
        <v>2138</v>
      </c>
    </row>
    <row r="58" spans="1:28" x14ac:dyDescent="0.35">
      <c r="A58" s="105" t="s">
        <v>344</v>
      </c>
      <c r="B58" s="105" t="s">
        <v>345</v>
      </c>
      <c r="C58" s="165">
        <v>0</v>
      </c>
      <c r="D58" s="165" t="s">
        <v>178</v>
      </c>
      <c r="E58" s="165">
        <v>0</v>
      </c>
      <c r="F58" s="165">
        <v>0</v>
      </c>
      <c r="G58" s="165">
        <v>0</v>
      </c>
      <c r="H58" s="165">
        <v>0</v>
      </c>
      <c r="I58" s="165">
        <v>0</v>
      </c>
      <c r="J58" s="165">
        <v>0</v>
      </c>
      <c r="K58" s="165">
        <v>0</v>
      </c>
      <c r="L58" s="165">
        <v>0</v>
      </c>
      <c r="M58" s="165">
        <v>0</v>
      </c>
      <c r="N58" s="165">
        <v>3802</v>
      </c>
      <c r="O58" s="165">
        <v>0</v>
      </c>
      <c r="P58" s="8">
        <v>3788</v>
      </c>
      <c r="Q58" s="8">
        <v>4029</v>
      </c>
      <c r="R58" s="8">
        <v>4595</v>
      </c>
      <c r="S58" s="8">
        <v>4703</v>
      </c>
      <c r="T58" s="8">
        <v>5505</v>
      </c>
      <c r="U58" s="8">
        <v>5202</v>
      </c>
      <c r="V58" s="8">
        <v>4437</v>
      </c>
      <c r="W58" s="8">
        <v>4086</v>
      </c>
      <c r="X58" s="8">
        <v>3918</v>
      </c>
      <c r="Y58" s="8">
        <v>4275</v>
      </c>
      <c r="Z58" s="8">
        <v>4428</v>
      </c>
      <c r="AA58" s="8">
        <v>4556</v>
      </c>
      <c r="AB58" s="347">
        <v>4907</v>
      </c>
    </row>
    <row r="59" spans="1:28" x14ac:dyDescent="0.35">
      <c r="A59" s="105" t="s">
        <v>360</v>
      </c>
      <c r="B59" s="105" t="s">
        <v>361</v>
      </c>
      <c r="C59" s="165">
        <v>40237</v>
      </c>
      <c r="D59" s="165">
        <v>44119</v>
      </c>
      <c r="E59" s="165">
        <v>41992</v>
      </c>
      <c r="F59" s="8">
        <v>33664</v>
      </c>
      <c r="G59" s="8">
        <v>45640</v>
      </c>
      <c r="H59" s="8">
        <v>49780</v>
      </c>
      <c r="I59" s="8">
        <v>47562</v>
      </c>
      <c r="J59" s="8">
        <v>42721</v>
      </c>
      <c r="K59" s="8">
        <v>44282</v>
      </c>
      <c r="L59" s="8">
        <v>51122</v>
      </c>
      <c r="M59" s="8">
        <v>51467</v>
      </c>
      <c r="N59" s="8">
        <v>24918</v>
      </c>
      <c r="O59" s="8">
        <v>35996</v>
      </c>
      <c r="P59" s="8">
        <v>38059</v>
      </c>
      <c r="Q59" s="8">
        <v>44164</v>
      </c>
      <c r="R59" s="8">
        <v>28267</v>
      </c>
      <c r="S59" s="8">
        <v>36175</v>
      </c>
      <c r="T59" s="8">
        <v>46988</v>
      </c>
      <c r="U59" s="8">
        <v>46342</v>
      </c>
      <c r="V59" s="8">
        <v>64361</v>
      </c>
      <c r="W59" s="8">
        <v>80114</v>
      </c>
      <c r="X59" s="8">
        <v>61119</v>
      </c>
      <c r="Y59" s="8">
        <v>84840</v>
      </c>
      <c r="Z59" s="8">
        <v>47840</v>
      </c>
      <c r="AA59" s="8">
        <v>59888</v>
      </c>
      <c r="AB59" s="347">
        <v>58716</v>
      </c>
    </row>
    <row r="60" spans="1:28" x14ac:dyDescent="0.35">
      <c r="A60" s="105" t="s">
        <v>348</v>
      </c>
      <c r="B60" s="105" t="s">
        <v>349</v>
      </c>
      <c r="C60" s="165">
        <v>2275</v>
      </c>
      <c r="D60" s="165">
        <v>2959</v>
      </c>
      <c r="E60" s="165">
        <v>3157</v>
      </c>
      <c r="F60" s="8">
        <v>3415</v>
      </c>
      <c r="G60" s="8">
        <v>2508</v>
      </c>
      <c r="H60" s="8">
        <v>2200</v>
      </c>
      <c r="I60" s="8">
        <v>2825</v>
      </c>
      <c r="J60" s="8">
        <v>3944</v>
      </c>
      <c r="K60" s="8">
        <v>3574</v>
      </c>
      <c r="L60" s="8">
        <v>3540</v>
      </c>
      <c r="M60" s="8">
        <v>4105</v>
      </c>
      <c r="N60" s="8">
        <v>4866</v>
      </c>
      <c r="O60" s="8">
        <v>3913</v>
      </c>
      <c r="P60" s="8">
        <v>2404</v>
      </c>
      <c r="Q60" s="8">
        <v>2571</v>
      </c>
      <c r="R60" s="8">
        <v>3121</v>
      </c>
      <c r="S60" s="8">
        <v>1979</v>
      </c>
      <c r="T60" s="8">
        <v>2149</v>
      </c>
      <c r="U60" s="8">
        <v>1974</v>
      </c>
      <c r="V60" s="8">
        <v>2153</v>
      </c>
      <c r="W60" s="8">
        <v>1442</v>
      </c>
      <c r="X60" s="8">
        <v>1360</v>
      </c>
      <c r="Y60" s="8">
        <v>712</v>
      </c>
      <c r="Z60" s="8">
        <v>2961</v>
      </c>
      <c r="AA60" s="8">
        <v>2141</v>
      </c>
      <c r="AB60" s="347">
        <v>1508</v>
      </c>
    </row>
    <row r="61" spans="1:28" x14ac:dyDescent="0.35">
      <c r="A61" s="105" t="s">
        <v>362</v>
      </c>
      <c r="B61" s="356" t="s">
        <v>1102</v>
      </c>
      <c r="C61" s="165">
        <v>0</v>
      </c>
      <c r="D61" s="165" t="s">
        <v>178</v>
      </c>
      <c r="E61" s="165">
        <v>0</v>
      </c>
      <c r="F61" s="165">
        <v>0</v>
      </c>
      <c r="G61" s="165">
        <v>0</v>
      </c>
      <c r="H61" s="165">
        <v>0</v>
      </c>
      <c r="I61" s="165">
        <v>0</v>
      </c>
      <c r="J61" s="165">
        <v>0</v>
      </c>
      <c r="K61" s="165">
        <v>0</v>
      </c>
      <c r="L61" s="165">
        <v>0</v>
      </c>
      <c r="M61" s="165">
        <v>0</v>
      </c>
      <c r="N61" s="165">
        <v>1735</v>
      </c>
      <c r="O61" s="165">
        <v>1406</v>
      </c>
      <c r="P61" s="8">
        <v>1383</v>
      </c>
      <c r="Q61" s="8" t="s">
        <v>178</v>
      </c>
      <c r="R61" s="165">
        <v>0</v>
      </c>
      <c r="S61" s="165">
        <v>0</v>
      </c>
      <c r="T61" s="165">
        <v>0</v>
      </c>
      <c r="U61" s="165">
        <v>50515</v>
      </c>
      <c r="V61" s="8">
        <v>49044</v>
      </c>
      <c r="W61" s="8">
        <v>41265</v>
      </c>
      <c r="X61" s="8" t="s">
        <v>178</v>
      </c>
      <c r="Y61" s="8" t="s">
        <v>178</v>
      </c>
      <c r="Z61" s="8">
        <v>0</v>
      </c>
      <c r="AA61" s="8">
        <v>0</v>
      </c>
      <c r="AB61" s="8" t="s">
        <v>178</v>
      </c>
    </row>
    <row r="62" spans="1:28" x14ac:dyDescent="0.35">
      <c r="A62" s="102"/>
      <c r="B62" s="80"/>
      <c r="C62" s="166"/>
      <c r="D62" s="165"/>
      <c r="E62" s="165"/>
      <c r="F62" s="8"/>
      <c r="G62" s="8"/>
      <c r="H62" s="8"/>
      <c r="I62" s="8"/>
      <c r="J62" s="8"/>
      <c r="K62" s="8"/>
      <c r="L62" s="8"/>
      <c r="M62" s="8"/>
      <c r="N62" s="8"/>
      <c r="O62" s="8"/>
      <c r="P62" s="8"/>
      <c r="Q62" s="8"/>
      <c r="R62" s="8"/>
      <c r="S62" s="8"/>
      <c r="T62" s="8"/>
      <c r="U62" s="8"/>
      <c r="V62" s="88"/>
      <c r="W62" s="88"/>
      <c r="X62" s="88"/>
      <c r="Y62" s="88"/>
      <c r="Z62" s="88"/>
      <c r="AA62" s="88"/>
      <c r="AB62" s="88"/>
    </row>
    <row r="63" spans="1:28" x14ac:dyDescent="0.35">
      <c r="A63" s="102"/>
      <c r="B63" s="80"/>
      <c r="C63" s="88"/>
      <c r="D63" s="88"/>
      <c r="E63" s="88"/>
      <c r="F63" s="88"/>
      <c r="G63" s="88"/>
      <c r="H63" s="88"/>
      <c r="I63" s="88"/>
      <c r="J63" s="88"/>
      <c r="K63" s="88"/>
      <c r="L63" s="88"/>
      <c r="M63" s="88"/>
      <c r="N63" s="168"/>
      <c r="O63" s="88"/>
      <c r="P63" s="88"/>
      <c r="Q63" s="88"/>
      <c r="R63" s="88"/>
      <c r="S63" s="88"/>
      <c r="T63" s="88"/>
      <c r="U63" s="88"/>
      <c r="V63" s="88"/>
      <c r="W63" s="88"/>
      <c r="X63" s="88"/>
      <c r="Y63" s="88"/>
      <c r="Z63" s="88"/>
      <c r="AA63" s="88"/>
      <c r="AB63" s="88"/>
    </row>
    <row r="64" spans="1:28" x14ac:dyDescent="0.35">
      <c r="A64" s="102"/>
      <c r="B64" s="87"/>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row>
    <row r="65" spans="1:28" x14ac:dyDescent="0.35">
      <c r="A65" s="226" t="s">
        <v>220</v>
      </c>
      <c r="B65" s="226" t="s">
        <v>221</v>
      </c>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row>
    <row r="66" spans="1:28" x14ac:dyDescent="0.35">
      <c r="A66" s="102"/>
      <c r="B66" s="87"/>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row>
    <row r="67" spans="1:28" x14ac:dyDescent="0.35">
      <c r="A67" s="102"/>
    </row>
    <row r="68" spans="1:28" x14ac:dyDescent="0.35">
      <c r="A68" s="102"/>
    </row>
    <row r="69" spans="1:28" x14ac:dyDescent="0.35">
      <c r="A69" s="102"/>
    </row>
    <row r="70" spans="1:28" x14ac:dyDescent="0.35">
      <c r="A70" s="102"/>
    </row>
    <row r="71" spans="1:28" x14ac:dyDescent="0.35">
      <c r="A71" s="102"/>
    </row>
    <row r="72" spans="1:28" x14ac:dyDescent="0.35">
      <c r="A72" s="102"/>
    </row>
    <row r="97" spans="2:28" x14ac:dyDescent="0.35">
      <c r="S97" s="66"/>
      <c r="T97" s="66"/>
      <c r="U97" s="66"/>
      <c r="V97" s="66"/>
      <c r="W97" s="66"/>
      <c r="X97" s="66"/>
      <c r="Y97" s="66"/>
      <c r="Z97" s="66"/>
      <c r="AA97" s="66"/>
      <c r="AB97" s="66"/>
    </row>
    <row r="98" spans="2:28" x14ac:dyDescent="0.35">
      <c r="B98" s="65"/>
      <c r="D98" s="31"/>
    </row>
    <row r="100" spans="2:28" x14ac:dyDescent="0.35">
      <c r="E100" s="20"/>
    </row>
    <row r="101" spans="2:28" x14ac:dyDescent="0.35">
      <c r="E101" s="20"/>
      <c r="G101" s="20"/>
    </row>
    <row r="102" spans="2:28" x14ac:dyDescent="0.35">
      <c r="E102" s="20"/>
      <c r="G102" s="20"/>
    </row>
    <row r="103" spans="2:28" x14ac:dyDescent="0.35">
      <c r="E103" s="20"/>
    </row>
    <row r="104" spans="2:28" x14ac:dyDescent="0.35">
      <c r="E104" s="20"/>
    </row>
  </sheetData>
  <mergeCells count="2">
    <mergeCell ref="A2:A3"/>
    <mergeCell ref="B2:B3"/>
  </mergeCells>
  <pageMargins left="0.70866141732283472" right="0.70866141732283472" top="0" bottom="0" header="0.31496062992125984" footer="0.31496062992125984"/>
  <pageSetup paperSize="9" orientation="landscape"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1BCD8-81B0-4F41-BAB1-D1DBCB4D023F}">
  <sheetPr>
    <tabColor rgb="FF0070C0"/>
  </sheetPr>
  <dimension ref="A1:AE75"/>
  <sheetViews>
    <sheetView topLeftCell="A19" zoomScale="68" zoomScaleNormal="68" workbookViewId="0">
      <pane xSplit="2" topLeftCell="J1" activePane="topRight" state="frozen"/>
      <selection activeCell="AS1" sqref="AS1"/>
      <selection pane="topRight" activeCell="J34" sqref="J34"/>
    </sheetView>
  </sheetViews>
  <sheetFormatPr defaultRowHeight="14.5" outlineLevelCol="1" x14ac:dyDescent="0.35"/>
  <cols>
    <col min="1" max="1" width="59.1796875" customWidth="1"/>
    <col min="2" max="2" width="81.453125" customWidth="1"/>
    <col min="3" max="5" width="13.453125" hidden="1" customWidth="1" outlineLevel="1"/>
    <col min="6" max="6" width="13.453125" bestFit="1" customWidth="1" collapsed="1"/>
    <col min="7" max="9" width="13.453125" hidden="1" customWidth="1" outlineLevel="1"/>
    <col min="10" max="10" width="13.453125" bestFit="1" customWidth="1" collapsed="1"/>
    <col min="11" max="13" width="13.453125" hidden="1" customWidth="1" outlineLevel="1"/>
    <col min="14" max="14" width="13.453125" bestFit="1" customWidth="1" collapsed="1"/>
    <col min="15" max="16" width="13.453125" hidden="1" customWidth="1" outlineLevel="1"/>
    <col min="17" max="17" width="16.1796875" hidden="1" customWidth="1" outlineLevel="1"/>
    <col min="18" max="18" width="15.54296875" customWidth="1" collapsed="1"/>
    <col min="19" max="19" width="14.54296875" hidden="1" customWidth="1" outlineLevel="1"/>
    <col min="20" max="20" width="17.1796875" hidden="1" customWidth="1" outlineLevel="1"/>
    <col min="21" max="21" width="15.81640625" hidden="1" customWidth="1" outlineLevel="1"/>
    <col min="22" max="22" width="15.81640625" bestFit="1" customWidth="1" collapsed="1"/>
    <col min="23" max="23" width="15.453125" bestFit="1" customWidth="1" outlineLevel="1"/>
    <col min="24" max="24" width="18.81640625" customWidth="1" outlineLevel="1"/>
    <col min="25" max="25" width="17.54296875" customWidth="1" outlineLevel="1"/>
    <col min="26" max="27" width="15.453125" bestFit="1" customWidth="1"/>
    <col min="28" max="28" width="15.453125" customWidth="1" outlineLevel="1"/>
    <col min="30" max="30" width="13.1796875" bestFit="1" customWidth="1"/>
  </cols>
  <sheetData>
    <row r="1" spans="1:28" ht="30.75" customHeight="1" thickBot="1" x14ac:dyDescent="0.4">
      <c r="A1" s="39"/>
      <c r="B1" s="39"/>
      <c r="W1" s="353"/>
    </row>
    <row r="2" spans="1:28" ht="15" thickBot="1" x14ac:dyDescent="0.4">
      <c r="A2" s="483" t="s">
        <v>363</v>
      </c>
      <c r="B2" s="477" t="s">
        <v>364</v>
      </c>
      <c r="C2" s="1" t="s">
        <v>79</v>
      </c>
      <c r="D2" s="1" t="s">
        <v>80</v>
      </c>
      <c r="E2" s="1" t="s">
        <v>81</v>
      </c>
      <c r="F2" s="64" t="s">
        <v>82</v>
      </c>
      <c r="G2" s="1" t="s">
        <v>83</v>
      </c>
      <c r="H2" s="1" t="s">
        <v>84</v>
      </c>
      <c r="I2" s="1" t="s">
        <v>85</v>
      </c>
      <c r="J2" s="64" t="s">
        <v>86</v>
      </c>
      <c r="K2" s="1" t="s">
        <v>87</v>
      </c>
      <c r="L2" s="1" t="s">
        <v>88</v>
      </c>
      <c r="M2" s="1" t="s">
        <v>89</v>
      </c>
      <c r="N2" s="64" t="s">
        <v>90</v>
      </c>
      <c r="O2" s="1" t="s">
        <v>91</v>
      </c>
      <c r="P2" s="1" t="s">
        <v>92</v>
      </c>
      <c r="Q2" s="1" t="s">
        <v>93</v>
      </c>
      <c r="R2" s="64" t="s">
        <v>94</v>
      </c>
      <c r="S2" s="1" t="s">
        <v>95</v>
      </c>
      <c r="T2" s="1" t="s">
        <v>96</v>
      </c>
      <c r="U2" s="1" t="s">
        <v>97</v>
      </c>
      <c r="V2" s="64" t="s">
        <v>98</v>
      </c>
      <c r="W2" s="1" t="s">
        <v>260</v>
      </c>
      <c r="X2" s="1" t="s">
        <v>100</v>
      </c>
      <c r="Y2" s="1" t="s">
        <v>101</v>
      </c>
      <c r="Z2" s="64" t="s">
        <v>102</v>
      </c>
      <c r="AA2" s="1" t="s">
        <v>1101</v>
      </c>
      <c r="AB2" s="1" t="s">
        <v>1165</v>
      </c>
    </row>
    <row r="3" spans="1:28" ht="15" thickTop="1" x14ac:dyDescent="0.35">
      <c r="A3" s="484"/>
      <c r="B3" s="478"/>
      <c r="C3" s="2" t="s">
        <v>62</v>
      </c>
      <c r="D3" s="2" t="s">
        <v>62</v>
      </c>
      <c r="E3" s="2" t="s">
        <v>62</v>
      </c>
      <c r="F3" s="2" t="s">
        <v>62</v>
      </c>
      <c r="G3" s="2" t="s">
        <v>62</v>
      </c>
      <c r="H3" s="2" t="s">
        <v>62</v>
      </c>
      <c r="I3" s="2" t="s">
        <v>62</v>
      </c>
      <c r="J3" s="2" t="s">
        <v>62</v>
      </c>
      <c r="K3" s="2" t="s">
        <v>62</v>
      </c>
      <c r="L3" s="2" t="s">
        <v>62</v>
      </c>
      <c r="M3" s="2" t="s">
        <v>62</v>
      </c>
      <c r="N3" s="2" t="s">
        <v>62</v>
      </c>
      <c r="O3" s="2" t="s">
        <v>62</v>
      </c>
      <c r="P3" s="2" t="s">
        <v>62</v>
      </c>
      <c r="Q3" s="2" t="s">
        <v>62</v>
      </c>
      <c r="R3" s="2" t="s">
        <v>62</v>
      </c>
      <c r="S3" s="2" t="s">
        <v>62</v>
      </c>
      <c r="T3" s="2" t="s">
        <v>62</v>
      </c>
      <c r="U3" s="2" t="s">
        <v>62</v>
      </c>
      <c r="V3" s="2" t="s">
        <v>62</v>
      </c>
      <c r="W3" s="2" t="s">
        <v>62</v>
      </c>
      <c r="X3" s="2" t="s">
        <v>62</v>
      </c>
      <c r="Y3" s="2" t="s">
        <v>62</v>
      </c>
      <c r="Z3" s="2" t="s">
        <v>62</v>
      </c>
      <c r="AA3" s="2" t="s">
        <v>62</v>
      </c>
      <c r="AB3" s="2" t="s">
        <v>62</v>
      </c>
    </row>
    <row r="4" spans="1:28" x14ac:dyDescent="0.35">
      <c r="A4" s="201" t="s">
        <v>365</v>
      </c>
      <c r="B4" s="201" t="s">
        <v>366</v>
      </c>
      <c r="C4" s="312"/>
      <c r="D4" s="312"/>
      <c r="E4" s="312"/>
      <c r="F4" s="312"/>
      <c r="G4" s="312"/>
      <c r="H4" s="312"/>
      <c r="I4" s="312"/>
      <c r="J4" s="312"/>
      <c r="K4" s="312"/>
      <c r="L4" s="312"/>
      <c r="M4" s="312"/>
      <c r="N4" s="312"/>
      <c r="O4" s="312"/>
      <c r="P4" s="312"/>
      <c r="Q4" s="312"/>
      <c r="R4" s="312"/>
      <c r="S4" s="312"/>
      <c r="T4" s="312"/>
      <c r="U4" s="313"/>
      <c r="V4" s="313"/>
      <c r="W4" s="313"/>
      <c r="X4" s="313"/>
      <c r="Y4" s="313"/>
      <c r="Z4" s="313"/>
      <c r="AA4" s="313"/>
      <c r="AB4" s="433"/>
    </row>
    <row r="5" spans="1:28" x14ac:dyDescent="0.35">
      <c r="A5" s="102" t="s">
        <v>191</v>
      </c>
      <c r="B5" s="102" t="s">
        <v>192</v>
      </c>
      <c r="C5" s="8">
        <v>15621</v>
      </c>
      <c r="D5" s="8">
        <v>42136</v>
      </c>
      <c r="E5" s="8">
        <v>53903</v>
      </c>
      <c r="F5" s="8">
        <v>43953</v>
      </c>
      <c r="G5" s="8">
        <v>22764</v>
      </c>
      <c r="H5" s="8">
        <v>42095</v>
      </c>
      <c r="I5" s="8">
        <v>68738</v>
      </c>
      <c r="J5" s="8">
        <v>50848</v>
      </c>
      <c r="K5" s="8">
        <v>31900</v>
      </c>
      <c r="L5" s="8">
        <v>63121</v>
      </c>
      <c r="M5" s="8">
        <v>89036</v>
      </c>
      <c r="N5" s="8">
        <v>115164</v>
      </c>
      <c r="O5" s="8">
        <v>26872</v>
      </c>
      <c r="P5" s="8">
        <v>57497</v>
      </c>
      <c r="Q5" s="8">
        <v>98159</v>
      </c>
      <c r="R5" s="8">
        <v>146575</v>
      </c>
      <c r="S5" s="8">
        <v>40457</v>
      </c>
      <c r="T5" s="8">
        <v>121947</v>
      </c>
      <c r="U5" s="8">
        <v>209404</v>
      </c>
      <c r="V5" s="8">
        <v>165663</v>
      </c>
      <c r="W5" s="8">
        <v>37996</v>
      </c>
      <c r="X5" s="8">
        <v>72854</v>
      </c>
      <c r="Y5" s="8">
        <v>130249</v>
      </c>
      <c r="Z5" s="8">
        <v>171540</v>
      </c>
      <c r="AA5" s="8">
        <v>82269</v>
      </c>
      <c r="AB5" s="347">
        <v>156629</v>
      </c>
    </row>
    <row r="6" spans="1:28" x14ac:dyDescent="0.35">
      <c r="A6" s="105" t="s">
        <v>367</v>
      </c>
      <c r="B6" s="105" t="s">
        <v>368</v>
      </c>
      <c r="C6" s="8">
        <v>8623</v>
      </c>
      <c r="D6" s="8">
        <v>17576</v>
      </c>
      <c r="E6" s="8">
        <v>26296</v>
      </c>
      <c r="F6" s="8">
        <v>34907</v>
      </c>
      <c r="G6" s="8">
        <v>8832</v>
      </c>
      <c r="H6" s="8">
        <v>17505</v>
      </c>
      <c r="I6" s="8">
        <v>27156</v>
      </c>
      <c r="J6" s="8">
        <v>39320</v>
      </c>
      <c r="K6" s="8">
        <v>9969</v>
      </c>
      <c r="L6" s="8">
        <v>19861</v>
      </c>
      <c r="M6" s="8">
        <v>29856</v>
      </c>
      <c r="N6" s="8">
        <v>39846</v>
      </c>
      <c r="O6" s="8">
        <v>11198</v>
      </c>
      <c r="P6" s="8">
        <v>22308</v>
      </c>
      <c r="Q6" s="8">
        <v>33139</v>
      </c>
      <c r="R6" s="8">
        <v>44922</v>
      </c>
      <c r="S6" s="8">
        <v>11658</v>
      </c>
      <c r="T6" s="8">
        <v>23719</v>
      </c>
      <c r="U6" s="8">
        <v>36232</v>
      </c>
      <c r="V6" s="8">
        <v>48569</v>
      </c>
      <c r="W6" s="8">
        <v>12496</v>
      </c>
      <c r="X6" s="8">
        <v>24445</v>
      </c>
      <c r="Y6" s="8">
        <v>36704</v>
      </c>
      <c r="Z6" s="8">
        <v>50808</v>
      </c>
      <c r="AA6" s="8">
        <v>11588</v>
      </c>
      <c r="AB6" s="347">
        <v>23287</v>
      </c>
    </row>
    <row r="7" spans="1:28" x14ac:dyDescent="0.35">
      <c r="A7" s="105" t="s">
        <v>369</v>
      </c>
      <c r="B7" s="105" t="s">
        <v>370</v>
      </c>
      <c r="C7" s="8">
        <v>1974</v>
      </c>
      <c r="D7" s="8">
        <v>1532</v>
      </c>
      <c r="E7" s="8">
        <v>3876</v>
      </c>
      <c r="F7" s="8">
        <v>2130</v>
      </c>
      <c r="G7" s="8">
        <v>-404</v>
      </c>
      <c r="H7" s="8">
        <v>148</v>
      </c>
      <c r="I7" s="8">
        <v>-500</v>
      </c>
      <c r="J7" s="8">
        <v>-503</v>
      </c>
      <c r="K7" s="8">
        <v>-1278</v>
      </c>
      <c r="L7" s="8">
        <v>-2063</v>
      </c>
      <c r="M7" s="8">
        <v>-2247</v>
      </c>
      <c r="N7" s="8">
        <v>-2031</v>
      </c>
      <c r="O7" s="8">
        <v>-3961</v>
      </c>
      <c r="P7" s="8">
        <v>-3102</v>
      </c>
      <c r="Q7" s="8">
        <v>2404</v>
      </c>
      <c r="R7" s="8">
        <v>-1425</v>
      </c>
      <c r="S7" s="8">
        <v>-1284</v>
      </c>
      <c r="T7" s="8">
        <v>14805</v>
      </c>
      <c r="U7" s="8">
        <v>23886</v>
      </c>
      <c r="V7" s="8">
        <v>22078</v>
      </c>
      <c r="W7" s="8">
        <v>-9985</v>
      </c>
      <c r="X7" s="8">
        <v>-4328</v>
      </c>
      <c r="Y7" s="8">
        <v>-1330</v>
      </c>
      <c r="Z7" s="8">
        <v>5405</v>
      </c>
      <c r="AA7" s="8">
        <v>-4260</v>
      </c>
      <c r="AB7" s="347">
        <v>-5413</v>
      </c>
    </row>
    <row r="8" spans="1:28" x14ac:dyDescent="0.35">
      <c r="A8" s="105" t="s">
        <v>371</v>
      </c>
      <c r="B8" s="105" t="s">
        <v>372</v>
      </c>
      <c r="C8" s="8">
        <v>45</v>
      </c>
      <c r="D8" s="8" t="s">
        <v>178</v>
      </c>
      <c r="E8" s="8" t="s">
        <v>178</v>
      </c>
      <c r="F8" s="8" t="s">
        <v>178</v>
      </c>
      <c r="G8" s="8"/>
      <c r="H8" s="8" t="s">
        <v>178</v>
      </c>
      <c r="I8" s="8" t="s">
        <v>178</v>
      </c>
      <c r="J8" s="8" t="s">
        <v>178</v>
      </c>
      <c r="K8" s="8" t="s">
        <v>178</v>
      </c>
      <c r="L8" s="8" t="s">
        <v>178</v>
      </c>
      <c r="M8" s="8" t="s">
        <v>178</v>
      </c>
      <c r="N8" s="8" t="s">
        <v>178</v>
      </c>
      <c r="O8" s="8" t="s">
        <v>178</v>
      </c>
      <c r="P8" s="8" t="s">
        <v>178</v>
      </c>
      <c r="Q8" s="8" t="s">
        <v>178</v>
      </c>
      <c r="R8" s="8" t="s">
        <v>178</v>
      </c>
      <c r="S8" s="8" t="s">
        <v>178</v>
      </c>
      <c r="T8" s="8" t="s">
        <v>178</v>
      </c>
      <c r="U8" s="8" t="s">
        <v>178</v>
      </c>
      <c r="V8" s="8" t="s">
        <v>178</v>
      </c>
      <c r="W8" s="8" t="s">
        <v>178</v>
      </c>
      <c r="X8" s="8" t="s">
        <v>178</v>
      </c>
      <c r="Y8" s="8" t="s">
        <v>178</v>
      </c>
      <c r="Z8" s="8">
        <v>0</v>
      </c>
      <c r="AA8" s="8">
        <v>0</v>
      </c>
      <c r="AB8" s="347" t="s">
        <v>178</v>
      </c>
    </row>
    <row r="9" spans="1:28" x14ac:dyDescent="0.35">
      <c r="A9" s="105" t="s">
        <v>373</v>
      </c>
      <c r="B9" s="105" t="s">
        <v>374</v>
      </c>
      <c r="C9" s="8">
        <v>-262</v>
      </c>
      <c r="D9" s="8">
        <v>-1252</v>
      </c>
      <c r="E9" s="8">
        <v>-2172</v>
      </c>
      <c r="F9" s="8">
        <v>-1362</v>
      </c>
      <c r="G9" s="8">
        <v>-242</v>
      </c>
      <c r="H9" s="8">
        <v>-442</v>
      </c>
      <c r="I9" s="8">
        <v>-799</v>
      </c>
      <c r="J9" s="8">
        <v>-320</v>
      </c>
      <c r="K9" s="8">
        <v>-75</v>
      </c>
      <c r="L9" s="8">
        <v>-198</v>
      </c>
      <c r="M9" s="8">
        <v>-290</v>
      </c>
      <c r="N9" s="8">
        <v>-1504</v>
      </c>
      <c r="O9" s="8">
        <v>-273</v>
      </c>
      <c r="P9" s="8">
        <v>-695</v>
      </c>
      <c r="Q9" s="8">
        <v>-1382</v>
      </c>
      <c r="R9" s="8">
        <v>-3568</v>
      </c>
      <c r="S9" s="8">
        <v>-820</v>
      </c>
      <c r="T9" s="8">
        <v>-2049</v>
      </c>
      <c r="U9" s="8">
        <v>-3705</v>
      </c>
      <c r="V9" s="8">
        <v>-6979</v>
      </c>
      <c r="W9" s="8">
        <v>-2908</v>
      </c>
      <c r="X9" s="8">
        <v>-4807</v>
      </c>
      <c r="Y9" s="8">
        <v>-7391</v>
      </c>
      <c r="Z9" s="8">
        <v>-11155</v>
      </c>
      <c r="AA9" s="8">
        <v>-1432</v>
      </c>
      <c r="AB9" s="347">
        <v>-2022</v>
      </c>
    </row>
    <row r="10" spans="1:28" x14ac:dyDescent="0.35">
      <c r="A10" s="105" t="s">
        <v>375</v>
      </c>
      <c r="B10" s="105" t="s">
        <v>376</v>
      </c>
      <c r="C10" s="8" t="s">
        <v>178</v>
      </c>
      <c r="D10" s="8" t="s">
        <v>178</v>
      </c>
      <c r="E10" s="8" t="s">
        <v>178</v>
      </c>
      <c r="F10" s="8">
        <v>249</v>
      </c>
      <c r="G10" s="8">
        <v>-18</v>
      </c>
      <c r="H10" s="8">
        <v>-35</v>
      </c>
      <c r="I10" s="8">
        <v>-70</v>
      </c>
      <c r="J10" s="8">
        <v>733</v>
      </c>
      <c r="K10" s="8">
        <v>-15</v>
      </c>
      <c r="L10" s="8">
        <v>-28</v>
      </c>
      <c r="M10" s="8">
        <v>747</v>
      </c>
      <c r="N10" s="8">
        <v>703</v>
      </c>
      <c r="O10" s="8">
        <v>-16</v>
      </c>
      <c r="P10" s="8">
        <v>-32</v>
      </c>
      <c r="Q10" s="8">
        <v>-74</v>
      </c>
      <c r="R10" s="8">
        <v>-8</v>
      </c>
      <c r="S10" s="8">
        <v>317</v>
      </c>
      <c r="T10" s="8" t="s">
        <v>178</v>
      </c>
      <c r="U10" s="8" t="s">
        <v>178</v>
      </c>
      <c r="V10" s="8" t="s">
        <v>178</v>
      </c>
      <c r="W10" s="8" t="s">
        <v>178</v>
      </c>
      <c r="X10" s="8" t="s">
        <v>178</v>
      </c>
      <c r="Y10" s="8" t="s">
        <v>178</v>
      </c>
      <c r="Z10" s="8" t="s">
        <v>178</v>
      </c>
      <c r="AA10" s="8">
        <v>0</v>
      </c>
      <c r="AB10" s="347">
        <v>-228</v>
      </c>
    </row>
    <row r="11" spans="1:28" x14ac:dyDescent="0.35">
      <c r="A11" s="105" t="s">
        <v>377</v>
      </c>
      <c r="B11" s="105" t="s">
        <v>378</v>
      </c>
      <c r="C11" s="8">
        <v>-316</v>
      </c>
      <c r="D11" s="8">
        <v>-870</v>
      </c>
      <c r="E11" s="8">
        <v>212</v>
      </c>
      <c r="F11" s="8">
        <v>312</v>
      </c>
      <c r="G11" s="8">
        <v>2586</v>
      </c>
      <c r="H11" s="8">
        <v>389</v>
      </c>
      <c r="I11" s="8">
        <v>1333</v>
      </c>
      <c r="J11" s="8">
        <v>1725</v>
      </c>
      <c r="K11" s="8">
        <v>-342</v>
      </c>
      <c r="L11" s="8">
        <v>256</v>
      </c>
      <c r="M11" s="8">
        <v>270</v>
      </c>
      <c r="N11" s="8">
        <v>767</v>
      </c>
      <c r="O11" s="8">
        <v>137</v>
      </c>
      <c r="P11" s="8">
        <v>26</v>
      </c>
      <c r="Q11" s="8">
        <v>274</v>
      </c>
      <c r="R11" s="8">
        <v>-939</v>
      </c>
      <c r="S11" s="8">
        <v>37</v>
      </c>
      <c r="T11" s="8" t="s">
        <v>178</v>
      </c>
      <c r="U11" s="8" t="s">
        <v>178</v>
      </c>
      <c r="V11" s="8" t="s">
        <v>178</v>
      </c>
      <c r="W11" s="8" t="s">
        <v>178</v>
      </c>
      <c r="X11" s="8" t="s">
        <v>178</v>
      </c>
      <c r="Y11" s="8" t="s">
        <v>178</v>
      </c>
      <c r="Z11" s="8" t="s">
        <v>178</v>
      </c>
      <c r="AA11" s="8">
        <v>0</v>
      </c>
      <c r="AB11" s="347">
        <v>-878</v>
      </c>
    </row>
    <row r="12" spans="1:28" x14ac:dyDescent="0.35">
      <c r="A12" s="105" t="s">
        <v>379</v>
      </c>
      <c r="B12" s="105" t="s">
        <v>380</v>
      </c>
      <c r="C12" s="8" t="s">
        <v>178</v>
      </c>
      <c r="D12" s="8" t="s">
        <v>178</v>
      </c>
      <c r="E12" s="8" t="s">
        <v>178</v>
      </c>
      <c r="F12" s="8">
        <v>24680</v>
      </c>
      <c r="G12" s="8" t="s">
        <v>178</v>
      </c>
      <c r="H12" s="8" t="s">
        <v>178</v>
      </c>
      <c r="I12" s="8">
        <v>5928</v>
      </c>
      <c r="J12" s="8">
        <v>38055</v>
      </c>
      <c r="K12" s="8" t="s">
        <v>178</v>
      </c>
      <c r="L12" s="8">
        <v>4202</v>
      </c>
      <c r="M12" s="8">
        <v>4237</v>
      </c>
      <c r="N12" s="8">
        <v>8256</v>
      </c>
      <c r="O12" s="8" t="s">
        <v>178</v>
      </c>
      <c r="P12" s="8" t="s">
        <v>178</v>
      </c>
      <c r="Q12" s="8" t="s">
        <v>178</v>
      </c>
      <c r="R12" s="8">
        <v>2591</v>
      </c>
      <c r="S12" s="8" t="s">
        <v>178</v>
      </c>
      <c r="T12" s="8" t="s">
        <v>178</v>
      </c>
      <c r="U12" s="8" t="s">
        <v>178</v>
      </c>
      <c r="V12" s="8">
        <v>19861</v>
      </c>
      <c r="W12" s="8" t="s">
        <v>178</v>
      </c>
      <c r="X12" s="8" t="s">
        <v>178</v>
      </c>
      <c r="Y12" s="8" t="s">
        <v>178</v>
      </c>
      <c r="Z12" s="8">
        <v>5751</v>
      </c>
      <c r="AA12" s="8">
        <v>0</v>
      </c>
      <c r="AB12" s="347" t="s">
        <v>178</v>
      </c>
    </row>
    <row r="13" spans="1:28" x14ac:dyDescent="0.35">
      <c r="A13" s="105" t="s">
        <v>381</v>
      </c>
      <c r="B13" s="105" t="s">
        <v>382</v>
      </c>
      <c r="C13" s="8" t="s">
        <v>178</v>
      </c>
      <c r="D13" s="8" t="s">
        <v>178</v>
      </c>
      <c r="E13" s="8" t="s">
        <v>178</v>
      </c>
      <c r="F13" s="8" t="s">
        <v>178</v>
      </c>
      <c r="G13" s="8" t="s">
        <v>178</v>
      </c>
      <c r="H13" s="8" t="s">
        <v>178</v>
      </c>
      <c r="I13" s="8" t="s">
        <v>178</v>
      </c>
      <c r="J13" s="8" t="s">
        <v>178</v>
      </c>
      <c r="K13" s="8" t="s">
        <v>178</v>
      </c>
      <c r="L13" s="8" t="s">
        <v>178</v>
      </c>
      <c r="M13" s="8" t="s">
        <v>178</v>
      </c>
      <c r="N13" s="8" t="s">
        <v>178</v>
      </c>
      <c r="O13" s="8" t="s">
        <v>178</v>
      </c>
      <c r="P13" s="8" t="s">
        <v>178</v>
      </c>
      <c r="Q13" s="8" t="s">
        <v>178</v>
      </c>
      <c r="R13" s="8" t="s">
        <v>178</v>
      </c>
      <c r="S13" s="8" t="s">
        <v>178</v>
      </c>
      <c r="T13" s="8" t="s">
        <v>178</v>
      </c>
      <c r="U13" s="8" t="s">
        <v>178</v>
      </c>
      <c r="V13" s="8" t="s">
        <v>178</v>
      </c>
      <c r="W13" s="8" t="s">
        <v>178</v>
      </c>
      <c r="X13" s="8" t="s">
        <v>178</v>
      </c>
      <c r="Y13" s="8" t="s">
        <v>178</v>
      </c>
      <c r="Z13" s="8" t="s">
        <v>178</v>
      </c>
      <c r="AA13" s="8">
        <v>0</v>
      </c>
      <c r="AB13" s="347">
        <v>8</v>
      </c>
    </row>
    <row r="14" spans="1:28" x14ac:dyDescent="0.35">
      <c r="A14" s="105" t="s">
        <v>383</v>
      </c>
      <c r="B14" s="105" t="s">
        <v>384</v>
      </c>
      <c r="C14" s="8">
        <v>375</v>
      </c>
      <c r="D14" s="8">
        <v>865</v>
      </c>
      <c r="E14" s="8" t="s">
        <v>178</v>
      </c>
      <c r="F14" s="8">
        <v>1743</v>
      </c>
      <c r="G14" s="8">
        <v>450</v>
      </c>
      <c r="H14" s="8">
        <v>855</v>
      </c>
      <c r="I14" s="8">
        <v>1256</v>
      </c>
      <c r="J14" s="8">
        <v>1636</v>
      </c>
      <c r="K14" s="8">
        <v>403</v>
      </c>
      <c r="L14" s="8">
        <v>834</v>
      </c>
      <c r="M14" s="8">
        <v>1210</v>
      </c>
      <c r="N14" s="8">
        <v>1642</v>
      </c>
      <c r="O14" s="8">
        <v>389</v>
      </c>
      <c r="P14" s="8">
        <v>827</v>
      </c>
      <c r="Q14" s="8">
        <v>1207</v>
      </c>
      <c r="R14" s="8">
        <v>1590</v>
      </c>
      <c r="S14" s="8">
        <v>447</v>
      </c>
      <c r="T14" s="8" t="s">
        <v>178</v>
      </c>
      <c r="U14" s="8" t="s">
        <v>178</v>
      </c>
      <c r="V14" s="8" t="s">
        <v>178</v>
      </c>
      <c r="W14" s="8" t="s">
        <v>178</v>
      </c>
      <c r="X14" s="8" t="s">
        <v>178</v>
      </c>
      <c r="Y14" s="8" t="s">
        <v>178</v>
      </c>
      <c r="Z14" s="8" t="s">
        <v>178</v>
      </c>
      <c r="AA14" s="8">
        <v>0</v>
      </c>
      <c r="AB14" s="347">
        <v>1098</v>
      </c>
    </row>
    <row r="15" spans="1:28" x14ac:dyDescent="0.35">
      <c r="A15" s="105" t="s">
        <v>385</v>
      </c>
      <c r="B15" s="105" t="s">
        <v>386</v>
      </c>
      <c r="C15" s="8" t="s">
        <v>178</v>
      </c>
      <c r="D15" s="8" t="s">
        <v>178</v>
      </c>
      <c r="E15" s="8" t="s">
        <v>178</v>
      </c>
      <c r="F15" s="8" t="s">
        <v>178</v>
      </c>
      <c r="G15" s="8" t="s">
        <v>178</v>
      </c>
      <c r="H15" s="8" t="s">
        <v>178</v>
      </c>
      <c r="I15" s="8" t="s">
        <v>178</v>
      </c>
      <c r="J15" s="8" t="s">
        <v>178</v>
      </c>
      <c r="K15" s="8" t="s">
        <v>178</v>
      </c>
      <c r="L15" s="8" t="s">
        <v>178</v>
      </c>
      <c r="M15" s="8" t="s">
        <v>178</v>
      </c>
      <c r="N15" s="8" t="s">
        <v>178</v>
      </c>
      <c r="O15" s="8" t="s">
        <v>178</v>
      </c>
      <c r="P15" s="8" t="s">
        <v>178</v>
      </c>
      <c r="Q15" s="8" t="s">
        <v>178</v>
      </c>
      <c r="R15" s="8" t="s">
        <v>178</v>
      </c>
      <c r="S15" s="8" t="s">
        <v>178</v>
      </c>
      <c r="T15" s="8">
        <v>1634</v>
      </c>
      <c r="U15" s="8">
        <v>-2147</v>
      </c>
      <c r="V15" s="8">
        <v>-2949</v>
      </c>
      <c r="W15" s="8">
        <v>188</v>
      </c>
      <c r="X15" s="8">
        <v>351</v>
      </c>
      <c r="Y15" s="8">
        <v>445</v>
      </c>
      <c r="Z15" s="8">
        <v>3548</v>
      </c>
      <c r="AA15" s="8">
        <v>14</v>
      </c>
      <c r="AB15" s="347" t="s">
        <v>1176</v>
      </c>
    </row>
    <row r="16" spans="1:28" x14ac:dyDescent="0.35">
      <c r="A16" s="105" t="s">
        <v>387</v>
      </c>
      <c r="B16" s="105" t="s">
        <v>388</v>
      </c>
      <c r="C16" s="8">
        <v>-4</v>
      </c>
      <c r="D16" s="8" t="s">
        <v>178</v>
      </c>
      <c r="E16" s="8">
        <v>-2</v>
      </c>
      <c r="F16" s="8">
        <v>-2</v>
      </c>
      <c r="G16" s="8" t="s">
        <v>178</v>
      </c>
      <c r="H16" s="8">
        <v>-1</v>
      </c>
      <c r="I16" s="8">
        <v>-1</v>
      </c>
      <c r="J16" s="8">
        <v>-1</v>
      </c>
      <c r="K16" s="8">
        <v>-19</v>
      </c>
      <c r="L16" s="8">
        <v>-19</v>
      </c>
      <c r="M16" s="8">
        <v>-19</v>
      </c>
      <c r="N16" s="8">
        <v>-22</v>
      </c>
      <c r="O16" s="8">
        <v>-10</v>
      </c>
      <c r="P16" s="8">
        <v>-14</v>
      </c>
      <c r="Q16" s="8">
        <v>-23</v>
      </c>
      <c r="R16" s="8">
        <v>-27</v>
      </c>
      <c r="S16" s="8">
        <v>-6</v>
      </c>
      <c r="T16" s="8">
        <v>-4572</v>
      </c>
      <c r="U16" s="8">
        <v>-4660</v>
      </c>
      <c r="V16" s="8">
        <v>-7256</v>
      </c>
      <c r="W16" s="8">
        <v>-111</v>
      </c>
      <c r="X16" s="8">
        <v>-8623</v>
      </c>
      <c r="Y16" s="8">
        <v>-8884</v>
      </c>
      <c r="Z16" s="8">
        <v>-14525</v>
      </c>
      <c r="AA16" s="8">
        <v>-484</v>
      </c>
      <c r="AB16" s="347">
        <v>-7576</v>
      </c>
    </row>
    <row r="17" spans="1:31" x14ac:dyDescent="0.35">
      <c r="A17" s="105" t="s">
        <v>389</v>
      </c>
      <c r="B17" s="105" t="s">
        <v>390</v>
      </c>
      <c r="C17" s="8">
        <v>-2218</v>
      </c>
      <c r="D17" s="8">
        <v>-2660</v>
      </c>
      <c r="E17" s="8">
        <v>-5208</v>
      </c>
      <c r="F17" s="8">
        <v>-6178</v>
      </c>
      <c r="G17" s="8">
        <v>-2381</v>
      </c>
      <c r="H17" s="8">
        <v>-2950</v>
      </c>
      <c r="I17" s="8">
        <v>-4965</v>
      </c>
      <c r="J17" s="8">
        <v>-7360</v>
      </c>
      <c r="K17" s="8">
        <v>-2459</v>
      </c>
      <c r="L17" s="8">
        <v>-2983</v>
      </c>
      <c r="M17" s="8">
        <v>-5237</v>
      </c>
      <c r="N17" s="8">
        <v>-7515</v>
      </c>
      <c r="O17" s="8">
        <v>-2955</v>
      </c>
      <c r="P17" s="8">
        <v>-4260</v>
      </c>
      <c r="Q17" s="8">
        <v>-6990</v>
      </c>
      <c r="R17" s="8">
        <v>-8136</v>
      </c>
      <c r="S17" s="8">
        <v>-3005</v>
      </c>
      <c r="T17" s="8">
        <v>-3928</v>
      </c>
      <c r="U17" s="8">
        <v>-9838</v>
      </c>
      <c r="V17" s="8">
        <v>-14290</v>
      </c>
      <c r="W17" s="8">
        <v>-2859</v>
      </c>
      <c r="X17" s="8">
        <v>-5200</v>
      </c>
      <c r="Y17" s="8">
        <v>-9495</v>
      </c>
      <c r="Z17" s="8">
        <v>-9744</v>
      </c>
      <c r="AA17" s="8">
        <v>-4478</v>
      </c>
      <c r="AB17" s="347">
        <v>-7432</v>
      </c>
    </row>
    <row r="18" spans="1:31" x14ac:dyDescent="0.35">
      <c r="A18" s="105" t="s">
        <v>391</v>
      </c>
      <c r="B18" s="105" t="s">
        <v>392</v>
      </c>
      <c r="C18" s="8" t="s">
        <v>178</v>
      </c>
      <c r="D18" s="8" t="s">
        <v>178</v>
      </c>
      <c r="E18" s="8" t="s">
        <v>178</v>
      </c>
      <c r="F18" s="8" t="s">
        <v>178</v>
      </c>
      <c r="G18" s="8" t="s">
        <v>178</v>
      </c>
      <c r="H18" s="8" t="s">
        <v>178</v>
      </c>
      <c r="I18" s="8" t="s">
        <v>178</v>
      </c>
      <c r="J18" s="8" t="s">
        <v>178</v>
      </c>
      <c r="K18" s="8" t="s">
        <v>178</v>
      </c>
      <c r="L18" s="8" t="s">
        <v>178</v>
      </c>
      <c r="M18" s="8" t="s">
        <v>178</v>
      </c>
      <c r="N18" s="8" t="s">
        <v>178</v>
      </c>
      <c r="O18" s="8" t="s">
        <v>178</v>
      </c>
      <c r="P18" s="8" t="s">
        <v>178</v>
      </c>
      <c r="Q18" s="8">
        <v>-1391</v>
      </c>
      <c r="R18" s="8">
        <v>-1391</v>
      </c>
      <c r="S18" s="8" t="s">
        <v>178</v>
      </c>
      <c r="T18" s="8" t="s">
        <v>178</v>
      </c>
      <c r="U18" s="8" t="s">
        <v>178</v>
      </c>
      <c r="V18" s="8" t="s">
        <v>178</v>
      </c>
      <c r="W18" s="8" t="s">
        <v>178</v>
      </c>
      <c r="X18" s="8">
        <v>-12000</v>
      </c>
      <c r="Y18" s="8">
        <v>-12000</v>
      </c>
      <c r="Z18" s="8">
        <v>-11436</v>
      </c>
      <c r="AA18" s="8">
        <v>0</v>
      </c>
      <c r="AB18" s="347" t="s">
        <v>1176</v>
      </c>
    </row>
    <row r="19" spans="1:31" x14ac:dyDescent="0.35">
      <c r="A19" s="102" t="s">
        <v>393</v>
      </c>
      <c r="B19" s="102" t="s">
        <v>394</v>
      </c>
      <c r="C19" s="8">
        <f>C24+C20*-1</f>
        <v>23838</v>
      </c>
      <c r="D19" s="8">
        <f t="shared" ref="D19:L19" si="0">D24+D20*-1</f>
        <v>57327</v>
      </c>
      <c r="E19" s="8">
        <f t="shared" si="0"/>
        <v>76905</v>
      </c>
      <c r="F19" s="8">
        <f t="shared" si="0"/>
        <v>100432</v>
      </c>
      <c r="G19" s="8">
        <f t="shared" si="0"/>
        <v>31587</v>
      </c>
      <c r="H19" s="8">
        <f t="shared" si="0"/>
        <v>57564</v>
      </c>
      <c r="I19" s="8">
        <f t="shared" si="0"/>
        <v>98076</v>
      </c>
      <c r="J19" s="8">
        <f t="shared" si="0"/>
        <v>124133</v>
      </c>
      <c r="K19" s="8">
        <f t="shared" si="0"/>
        <v>38084</v>
      </c>
      <c r="L19" s="8">
        <f t="shared" si="0"/>
        <v>82983</v>
      </c>
      <c r="M19" s="8">
        <f t="shared" ref="M19" si="1">M24+M20*-1</f>
        <v>117563</v>
      </c>
      <c r="N19" s="8">
        <f t="shared" ref="N19" si="2">N24+N20*-1</f>
        <v>155306</v>
      </c>
      <c r="O19" s="8">
        <f>O24+O20*-1</f>
        <v>31381</v>
      </c>
      <c r="P19" s="8">
        <f>P24+P20*-1</f>
        <v>72555</v>
      </c>
      <c r="Q19" s="8">
        <v>125323</v>
      </c>
      <c r="R19" s="8">
        <f>R24+R20*-1</f>
        <v>180184</v>
      </c>
      <c r="S19" s="8">
        <f>S24-S20</f>
        <v>47801</v>
      </c>
      <c r="T19" s="8">
        <v>151556</v>
      </c>
      <c r="U19" s="8">
        <v>249172</v>
      </c>
      <c r="V19" s="8">
        <v>224697</v>
      </c>
      <c r="W19" s="8">
        <v>34817</v>
      </c>
      <c r="X19" s="8">
        <v>62692</v>
      </c>
      <c r="Y19" s="8">
        <v>128298</v>
      </c>
      <c r="Z19" s="8">
        <v>190192</v>
      </c>
      <c r="AA19" s="8">
        <v>83197</v>
      </c>
      <c r="AB19" s="347">
        <v>157473</v>
      </c>
    </row>
    <row r="20" spans="1:31" s="160" customFormat="1" x14ac:dyDescent="0.35">
      <c r="A20" s="193" t="s">
        <v>395</v>
      </c>
      <c r="B20" s="193" t="s">
        <v>396</v>
      </c>
      <c r="C20" s="194">
        <f>C21+C22+C23</f>
        <v>12309</v>
      </c>
      <c r="D20" s="194">
        <f t="shared" ref="D20:L20" si="3">D21+D22+D23</f>
        <v>6164</v>
      </c>
      <c r="E20" s="194">
        <f t="shared" si="3"/>
        <v>17727</v>
      </c>
      <c r="F20" s="194">
        <f t="shared" si="3"/>
        <v>812</v>
      </c>
      <c r="G20" s="194">
        <f t="shared" si="3"/>
        <v>-11612</v>
      </c>
      <c r="H20" s="194">
        <f t="shared" si="3"/>
        <v>-11205</v>
      </c>
      <c r="I20" s="194">
        <f t="shared" si="3"/>
        <v>-29974</v>
      </c>
      <c r="J20" s="194">
        <f t="shared" si="3"/>
        <v>-25919</v>
      </c>
      <c r="K20" s="194">
        <f t="shared" si="3"/>
        <v>1618</v>
      </c>
      <c r="L20" s="194">
        <f t="shared" si="3"/>
        <v>-13982</v>
      </c>
      <c r="M20" s="194">
        <f t="shared" ref="M20" si="4">M21+M22+M23</f>
        <v>-4377</v>
      </c>
      <c r="N20" s="194">
        <f t="shared" ref="N20" si="5">N21+N22+N23</f>
        <v>-21786</v>
      </c>
      <c r="O20" s="194">
        <f>O21+O22+O23</f>
        <v>192</v>
      </c>
      <c r="P20" s="194">
        <f>P21+P22+P23</f>
        <v>-17025</v>
      </c>
      <c r="Q20" s="194">
        <f>Q21+Q22+Q23</f>
        <v>-26821</v>
      </c>
      <c r="R20" s="194">
        <f>R21+R22+R23</f>
        <v>-40280</v>
      </c>
      <c r="S20" s="194">
        <f>S21+S22+S23</f>
        <v>4128</v>
      </c>
      <c r="T20" s="194">
        <v>-66546</v>
      </c>
      <c r="U20" s="194">
        <v>-115309</v>
      </c>
      <c r="V20" s="194">
        <v>-38701</v>
      </c>
      <c r="W20" s="195">
        <v>10631</v>
      </c>
      <c r="X20" s="194">
        <v>-11137</v>
      </c>
      <c r="Y20" s="194">
        <v>-33524</v>
      </c>
      <c r="Z20" s="194">
        <v>-66522</v>
      </c>
      <c r="AA20" s="194">
        <v>-25762</v>
      </c>
      <c r="AB20" s="434">
        <v>-36512</v>
      </c>
    </row>
    <row r="21" spans="1:31" ht="15" customHeight="1" x14ac:dyDescent="0.35">
      <c r="A21" s="115" t="s">
        <v>397</v>
      </c>
      <c r="B21" s="115" t="s">
        <v>398</v>
      </c>
      <c r="C21" s="8">
        <v>15076</v>
      </c>
      <c r="D21" s="8">
        <v>6765</v>
      </c>
      <c r="E21" s="8">
        <v>8743</v>
      </c>
      <c r="F21" s="8">
        <v>-5899</v>
      </c>
      <c r="G21" s="8">
        <v>-5222</v>
      </c>
      <c r="H21" s="8">
        <v>-9009</v>
      </c>
      <c r="I21" s="8">
        <v>-27663</v>
      </c>
      <c r="J21" s="8">
        <v>-33063</v>
      </c>
      <c r="K21" s="8">
        <v>14438</v>
      </c>
      <c r="L21" s="8">
        <v>1287</v>
      </c>
      <c r="M21" s="8">
        <v>9583</v>
      </c>
      <c r="N21" s="8">
        <v>-3341</v>
      </c>
      <c r="O21" s="8">
        <v>16558</v>
      </c>
      <c r="P21" s="8">
        <v>-5408</v>
      </c>
      <c r="Q21" s="8">
        <v>-24047</v>
      </c>
      <c r="R21" s="8">
        <v>-36470</v>
      </c>
      <c r="S21" s="8">
        <v>14936</v>
      </c>
      <c r="T21" s="8">
        <v>-58273</v>
      </c>
      <c r="U21" s="8">
        <v>-85736</v>
      </c>
      <c r="V21" s="8">
        <v>-51307</v>
      </c>
      <c r="W21" s="8">
        <v>13924</v>
      </c>
      <c r="X21" s="8">
        <v>4792</v>
      </c>
      <c r="Y21" s="8">
        <v>-18377</v>
      </c>
      <c r="Z21" s="8">
        <v>-23196</v>
      </c>
      <c r="AA21" s="8">
        <v>1033</v>
      </c>
      <c r="AB21" s="347">
        <v>-11390</v>
      </c>
    </row>
    <row r="22" spans="1:31" x14ac:dyDescent="0.35">
      <c r="A22" s="115" t="s">
        <v>399</v>
      </c>
      <c r="B22" s="115" t="s">
        <v>400</v>
      </c>
      <c r="C22" s="8">
        <v>-3456</v>
      </c>
      <c r="D22" s="8">
        <v>-12619</v>
      </c>
      <c r="E22" s="8">
        <v>-9532</v>
      </c>
      <c r="F22" s="8">
        <v>-8772</v>
      </c>
      <c r="G22" s="8">
        <v>-6799</v>
      </c>
      <c r="H22" s="8">
        <v>-12076</v>
      </c>
      <c r="I22" s="8">
        <v>-11002</v>
      </c>
      <c r="J22" s="8">
        <v>-6308</v>
      </c>
      <c r="K22" s="8">
        <v>-6553</v>
      </c>
      <c r="L22" s="8">
        <v>-13931</v>
      </c>
      <c r="M22" s="8">
        <v>-13983</v>
      </c>
      <c r="N22" s="8">
        <v>-13900</v>
      </c>
      <c r="O22" s="8">
        <v>-8425</v>
      </c>
      <c r="P22" s="8">
        <v>-13884</v>
      </c>
      <c r="Q22" s="8">
        <v>-17056</v>
      </c>
      <c r="R22" s="8">
        <v>-20983</v>
      </c>
      <c r="S22" s="8">
        <v>-7728</v>
      </c>
      <c r="T22" s="8">
        <v>-30189</v>
      </c>
      <c r="U22" s="8">
        <v>-55285</v>
      </c>
      <c r="V22" s="8">
        <v>-35637</v>
      </c>
      <c r="W22" s="8">
        <v>11</v>
      </c>
      <c r="X22" s="8">
        <v>925</v>
      </c>
      <c r="Y22" s="8">
        <v>-19062</v>
      </c>
      <c r="Z22" s="8">
        <v>-27558</v>
      </c>
      <c r="AA22" s="8">
        <v>-21914</v>
      </c>
      <c r="AB22" s="347">
        <v>-28217</v>
      </c>
    </row>
    <row r="23" spans="1:31" x14ac:dyDescent="0.35">
      <c r="A23" s="115" t="s">
        <v>401</v>
      </c>
      <c r="B23" s="115" t="s">
        <v>402</v>
      </c>
      <c r="C23" s="8">
        <v>689</v>
      </c>
      <c r="D23" s="8">
        <v>12018</v>
      </c>
      <c r="E23" s="8">
        <v>18516</v>
      </c>
      <c r="F23" s="8">
        <v>15483</v>
      </c>
      <c r="G23" s="8">
        <v>409</v>
      </c>
      <c r="H23" s="8">
        <v>9880</v>
      </c>
      <c r="I23" s="8">
        <v>8691</v>
      </c>
      <c r="J23" s="8">
        <v>13452</v>
      </c>
      <c r="K23" s="8">
        <v>-6267</v>
      </c>
      <c r="L23" s="8">
        <v>-1338</v>
      </c>
      <c r="M23" s="8">
        <v>23</v>
      </c>
      <c r="N23" s="8">
        <v>-4545</v>
      </c>
      <c r="O23" s="8">
        <v>-7941</v>
      </c>
      <c r="P23" s="8">
        <v>2267</v>
      </c>
      <c r="Q23" s="8">
        <v>14282</v>
      </c>
      <c r="R23" s="8">
        <v>17173</v>
      </c>
      <c r="S23" s="8">
        <v>-3080</v>
      </c>
      <c r="T23" s="8">
        <v>21916</v>
      </c>
      <c r="U23" s="8">
        <v>25712</v>
      </c>
      <c r="V23" s="8">
        <v>48243</v>
      </c>
      <c r="W23" s="8">
        <v>-3304</v>
      </c>
      <c r="X23" s="8">
        <v>-16854</v>
      </c>
      <c r="Y23" s="8">
        <v>3915</v>
      </c>
      <c r="Z23" s="8">
        <v>-15768</v>
      </c>
      <c r="AA23" s="8">
        <v>-4881</v>
      </c>
      <c r="AB23" s="347">
        <v>3095</v>
      </c>
    </row>
    <row r="24" spans="1:31" x14ac:dyDescent="0.35">
      <c r="A24" s="102" t="s">
        <v>403</v>
      </c>
      <c r="B24" s="102" t="s">
        <v>404</v>
      </c>
      <c r="C24" s="8">
        <v>36147</v>
      </c>
      <c r="D24" s="8">
        <v>63491</v>
      </c>
      <c r="E24" s="8">
        <v>94632</v>
      </c>
      <c r="F24" s="8">
        <v>101244</v>
      </c>
      <c r="G24" s="8">
        <v>19975</v>
      </c>
      <c r="H24" s="8">
        <v>46359</v>
      </c>
      <c r="I24" s="8">
        <v>68102</v>
      </c>
      <c r="J24" s="8">
        <v>98214</v>
      </c>
      <c r="K24" s="8">
        <v>39702</v>
      </c>
      <c r="L24" s="8">
        <v>69001</v>
      </c>
      <c r="M24" s="8">
        <v>113186</v>
      </c>
      <c r="N24" s="8">
        <v>133520</v>
      </c>
      <c r="O24" s="8">
        <v>31573</v>
      </c>
      <c r="P24" s="8">
        <v>55530</v>
      </c>
      <c r="Q24" s="8">
        <v>98502</v>
      </c>
      <c r="R24" s="8">
        <v>139904</v>
      </c>
      <c r="S24" s="8">
        <v>51929</v>
      </c>
      <c r="T24" s="8">
        <v>85010</v>
      </c>
      <c r="U24" s="8">
        <v>133863</v>
      </c>
      <c r="V24" s="8">
        <v>185996</v>
      </c>
      <c r="W24" s="8">
        <v>45448</v>
      </c>
      <c r="X24" s="8">
        <v>51555</v>
      </c>
      <c r="Y24" s="8">
        <v>94774</v>
      </c>
      <c r="Z24" s="8">
        <v>123670</v>
      </c>
      <c r="AA24" s="8">
        <v>57435</v>
      </c>
      <c r="AB24" s="347">
        <v>120961</v>
      </c>
    </row>
    <row r="25" spans="1:31" x14ac:dyDescent="0.35">
      <c r="A25" s="111" t="s">
        <v>405</v>
      </c>
      <c r="B25" s="111" t="s">
        <v>406</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349"/>
    </row>
    <row r="26" spans="1:31" x14ac:dyDescent="0.35">
      <c r="A26" s="105" t="s">
        <v>407</v>
      </c>
      <c r="B26" s="105" t="s">
        <v>408</v>
      </c>
      <c r="C26" s="8">
        <v>-4835</v>
      </c>
      <c r="D26" s="8">
        <v>-13916</v>
      </c>
      <c r="E26" s="8">
        <v>-23808</v>
      </c>
      <c r="F26" s="8">
        <v>-39073</v>
      </c>
      <c r="G26" s="8">
        <v>-4087</v>
      </c>
      <c r="H26" s="8">
        <v>-15404</v>
      </c>
      <c r="I26" s="8">
        <v>-21784</v>
      </c>
      <c r="J26" s="8">
        <v>-39507</v>
      </c>
      <c r="K26" s="8">
        <v>-3897</v>
      </c>
      <c r="L26" s="8">
        <v>-11339</v>
      </c>
      <c r="M26" s="8">
        <v>-21448</v>
      </c>
      <c r="N26" s="8">
        <v>-36903</v>
      </c>
      <c r="O26" s="8">
        <v>-4529</v>
      </c>
      <c r="P26" s="8">
        <v>-14043</v>
      </c>
      <c r="Q26" s="8">
        <v>-26982</v>
      </c>
      <c r="R26" s="8">
        <v>-46127</v>
      </c>
      <c r="S26" s="8">
        <v>-7314</v>
      </c>
      <c r="T26" s="8">
        <v>-19737</v>
      </c>
      <c r="U26" s="8">
        <v>-37818</v>
      </c>
      <c r="V26" s="8">
        <v>-59231</v>
      </c>
      <c r="W26" s="8">
        <v>-9211</v>
      </c>
      <c r="X26" s="8">
        <v>-23065</v>
      </c>
      <c r="Y26" s="8">
        <v>-41761</v>
      </c>
      <c r="Z26" s="8">
        <v>-61960</v>
      </c>
      <c r="AA26" s="8">
        <v>-6912</v>
      </c>
      <c r="AB26" s="347">
        <v>-19709</v>
      </c>
      <c r="AC26" s="20"/>
      <c r="AD26" s="20"/>
      <c r="AE26" s="20"/>
    </row>
    <row r="27" spans="1:31" x14ac:dyDescent="0.35">
      <c r="A27" s="105" t="s">
        <v>409</v>
      </c>
      <c r="B27" s="105" t="s">
        <v>410</v>
      </c>
      <c r="C27" s="8">
        <v>-440</v>
      </c>
      <c r="D27" s="8">
        <v>-2409</v>
      </c>
      <c r="E27" s="8">
        <v>-16411</v>
      </c>
      <c r="F27" s="8">
        <v>-18982</v>
      </c>
      <c r="G27" s="8">
        <v>-1647</v>
      </c>
      <c r="H27" s="8" t="s">
        <v>178</v>
      </c>
      <c r="I27" s="8">
        <v>-7975</v>
      </c>
      <c r="J27" s="8">
        <v>-18578</v>
      </c>
      <c r="K27" s="8">
        <v>-15187</v>
      </c>
      <c r="L27" s="8">
        <v>-22358</v>
      </c>
      <c r="M27" s="8">
        <v>-24817</v>
      </c>
      <c r="N27" s="8">
        <v>-29735</v>
      </c>
      <c r="O27" s="8">
        <v>-81446</v>
      </c>
      <c r="P27" s="8">
        <v>-87635</v>
      </c>
      <c r="Q27" s="8">
        <v>-93503</v>
      </c>
      <c r="R27" s="8">
        <v>-97170</v>
      </c>
      <c r="S27" s="8">
        <v>-2187</v>
      </c>
      <c r="T27" s="8">
        <v>-4427</v>
      </c>
      <c r="U27" s="8">
        <v>-5778</v>
      </c>
      <c r="V27" s="8">
        <v>-12348</v>
      </c>
      <c r="W27" s="8">
        <v>-22179</v>
      </c>
      <c r="X27" s="8">
        <v>-24060</v>
      </c>
      <c r="Y27" s="8">
        <v>-25899</v>
      </c>
      <c r="Z27" s="8">
        <v>-32679</v>
      </c>
      <c r="AA27" s="8">
        <v>-684</v>
      </c>
      <c r="AB27" s="347">
        <v>-1678</v>
      </c>
    </row>
    <row r="28" spans="1:31" x14ac:dyDescent="0.35">
      <c r="A28" s="105" t="s">
        <v>411</v>
      </c>
      <c r="B28" s="105" t="s">
        <v>412</v>
      </c>
      <c r="C28" s="8">
        <v>221</v>
      </c>
      <c r="D28" s="8">
        <v>334</v>
      </c>
      <c r="E28" s="8">
        <v>589</v>
      </c>
      <c r="F28" s="8">
        <v>736</v>
      </c>
      <c r="G28" s="8">
        <v>32</v>
      </c>
      <c r="H28" s="8">
        <v>815</v>
      </c>
      <c r="I28" s="8">
        <v>1012</v>
      </c>
      <c r="J28" s="8">
        <v>1449</v>
      </c>
      <c r="K28" s="8">
        <v>348</v>
      </c>
      <c r="L28" s="8">
        <v>223</v>
      </c>
      <c r="M28" s="8">
        <v>325</v>
      </c>
      <c r="N28" s="8">
        <v>432</v>
      </c>
      <c r="O28" s="8">
        <v>472</v>
      </c>
      <c r="P28" s="8">
        <v>232</v>
      </c>
      <c r="Q28" s="8">
        <v>294</v>
      </c>
      <c r="R28" s="8">
        <v>1857</v>
      </c>
      <c r="S28" s="8">
        <v>491</v>
      </c>
      <c r="T28" s="8">
        <v>1361</v>
      </c>
      <c r="U28" s="8">
        <v>1425</v>
      </c>
      <c r="V28" s="8">
        <v>2807</v>
      </c>
      <c r="W28" s="8">
        <v>532</v>
      </c>
      <c r="X28" s="8">
        <v>1103</v>
      </c>
      <c r="Y28" s="8">
        <v>2265</v>
      </c>
      <c r="Z28" s="8">
        <v>3057</v>
      </c>
      <c r="AA28" s="8">
        <v>499</v>
      </c>
      <c r="AB28" s="347">
        <v>1210</v>
      </c>
    </row>
    <row r="29" spans="1:31" x14ac:dyDescent="0.35">
      <c r="A29" s="105" t="s">
        <v>413</v>
      </c>
      <c r="B29" s="105" t="s">
        <v>414</v>
      </c>
      <c r="C29" s="8" t="s">
        <v>178</v>
      </c>
      <c r="D29" s="8" t="s">
        <v>178</v>
      </c>
      <c r="E29" s="8" t="s">
        <v>178</v>
      </c>
      <c r="F29" s="8">
        <v>0</v>
      </c>
      <c r="G29" s="8" t="s">
        <v>178</v>
      </c>
      <c r="H29" s="8" t="s">
        <v>178</v>
      </c>
      <c r="I29" s="8" t="s">
        <v>178</v>
      </c>
      <c r="J29" s="8">
        <v>2428</v>
      </c>
      <c r="K29" s="8" t="s">
        <v>178</v>
      </c>
      <c r="L29" s="8" t="s">
        <v>178</v>
      </c>
      <c r="M29" s="8" t="s">
        <v>178</v>
      </c>
      <c r="N29" s="8">
        <v>2197</v>
      </c>
      <c r="O29" s="8">
        <v>544</v>
      </c>
      <c r="P29" s="8">
        <v>670</v>
      </c>
      <c r="Q29" s="8">
        <v>692</v>
      </c>
      <c r="R29" s="8">
        <v>693</v>
      </c>
      <c r="S29" s="8" t="s">
        <v>178</v>
      </c>
      <c r="T29" s="8" t="s">
        <v>178</v>
      </c>
      <c r="U29" s="8" t="s">
        <v>178</v>
      </c>
      <c r="V29" s="8" t="s">
        <v>178</v>
      </c>
      <c r="W29" s="8" t="s">
        <v>178</v>
      </c>
      <c r="X29" s="8" t="s">
        <v>178</v>
      </c>
      <c r="Y29" s="8">
        <v>0</v>
      </c>
      <c r="Z29" s="8">
        <v>0</v>
      </c>
      <c r="AA29" s="8">
        <v>0</v>
      </c>
      <c r="AB29" s="347" t="s">
        <v>178</v>
      </c>
    </row>
    <row r="30" spans="1:31" x14ac:dyDescent="0.35">
      <c r="A30" s="105" t="s">
        <v>415</v>
      </c>
      <c r="B30" s="105" t="s">
        <v>416</v>
      </c>
      <c r="C30" s="8">
        <v>228</v>
      </c>
      <c r="D30" s="8">
        <v>419</v>
      </c>
      <c r="E30" s="8">
        <v>435</v>
      </c>
      <c r="F30" s="8">
        <v>-3291</v>
      </c>
      <c r="G30" s="8">
        <v>11</v>
      </c>
      <c r="H30" s="8">
        <v>17</v>
      </c>
      <c r="I30" s="8">
        <v>-4828</v>
      </c>
      <c r="J30" s="8">
        <v>-11633</v>
      </c>
      <c r="K30" s="8">
        <v>1071</v>
      </c>
      <c r="L30" s="8">
        <v>-5631</v>
      </c>
      <c r="M30" s="8">
        <v>-39115</v>
      </c>
      <c r="N30" s="8">
        <v>-47454</v>
      </c>
      <c r="O30" s="8">
        <v>-674</v>
      </c>
      <c r="P30" s="8">
        <v>-86640</v>
      </c>
      <c r="Q30" s="8">
        <v>-99085</v>
      </c>
      <c r="R30" s="8">
        <v>-143206</v>
      </c>
      <c r="S30" s="8">
        <v>-17303</v>
      </c>
      <c r="T30" s="8">
        <v>-20170</v>
      </c>
      <c r="U30" s="8">
        <v>-21215</v>
      </c>
      <c r="V30" s="8">
        <v>-57723</v>
      </c>
      <c r="W30" s="8">
        <v>-12840</v>
      </c>
      <c r="X30" s="8">
        <v>-31819</v>
      </c>
      <c r="Y30" s="8">
        <v>-34476</v>
      </c>
      <c r="Z30" s="8">
        <v>-38050</v>
      </c>
      <c r="AA30" s="8">
        <v>-32240</v>
      </c>
      <c r="AB30" s="347">
        <v>-32243</v>
      </c>
    </row>
    <row r="31" spans="1:31" x14ac:dyDescent="0.35">
      <c r="A31" s="105" t="s">
        <v>417</v>
      </c>
      <c r="B31" s="105" t="s">
        <v>418</v>
      </c>
      <c r="C31" s="8" t="s">
        <v>178</v>
      </c>
      <c r="D31" s="8" t="s">
        <v>178</v>
      </c>
      <c r="E31" s="8" t="s">
        <v>178</v>
      </c>
      <c r="F31" s="8">
        <v>17498</v>
      </c>
      <c r="G31" s="8">
        <v>3323</v>
      </c>
      <c r="H31" s="8">
        <v>3297</v>
      </c>
      <c r="I31" s="8">
        <v>3152</v>
      </c>
      <c r="J31" s="8">
        <v>4731</v>
      </c>
      <c r="K31" s="8" t="s">
        <v>178</v>
      </c>
      <c r="L31" s="8">
        <v>10807</v>
      </c>
      <c r="M31" s="8">
        <v>10807</v>
      </c>
      <c r="N31" s="8">
        <v>10807</v>
      </c>
      <c r="O31" s="8">
        <v>5478</v>
      </c>
      <c r="P31" s="8">
        <v>5478</v>
      </c>
      <c r="Q31" s="8">
        <v>5478</v>
      </c>
      <c r="R31" s="8">
        <v>30998</v>
      </c>
      <c r="S31" s="8" t="s">
        <v>178</v>
      </c>
      <c r="T31" s="8">
        <v>11</v>
      </c>
      <c r="U31" s="8">
        <v>9</v>
      </c>
      <c r="V31" s="8">
        <v>13523</v>
      </c>
      <c r="W31" s="347">
        <v>10802</v>
      </c>
      <c r="X31" s="8">
        <v>67440</v>
      </c>
      <c r="Y31" s="8">
        <v>68420</v>
      </c>
      <c r="Z31" s="8">
        <v>71895</v>
      </c>
      <c r="AA31" s="8">
        <v>0</v>
      </c>
      <c r="AB31" s="347">
        <v>49529</v>
      </c>
    </row>
    <row r="32" spans="1:31" x14ac:dyDescent="0.35">
      <c r="A32" s="105" t="s">
        <v>419</v>
      </c>
      <c r="B32" s="105" t="s">
        <v>420</v>
      </c>
      <c r="C32" s="8">
        <v>-96</v>
      </c>
      <c r="D32" s="8">
        <v>-118</v>
      </c>
      <c r="E32" s="8">
        <v>-1364</v>
      </c>
      <c r="F32" s="8">
        <v>-646</v>
      </c>
      <c r="G32" s="8">
        <v>147</v>
      </c>
      <c r="H32" s="8">
        <v>-79</v>
      </c>
      <c r="I32" s="8">
        <v>1317</v>
      </c>
      <c r="J32" s="8">
        <v>492</v>
      </c>
      <c r="K32" s="8">
        <v>-65</v>
      </c>
      <c r="L32" s="8">
        <v>231</v>
      </c>
      <c r="M32" s="8">
        <v>-199</v>
      </c>
      <c r="N32" s="8">
        <v>848</v>
      </c>
      <c r="O32" s="8">
        <v>-1327</v>
      </c>
      <c r="P32" s="8">
        <v>-1608</v>
      </c>
      <c r="Q32" s="8">
        <v>-2860</v>
      </c>
      <c r="R32" s="8">
        <v>-1294</v>
      </c>
      <c r="S32" s="8">
        <v>-7560</v>
      </c>
      <c r="T32" s="8">
        <v>-7734</v>
      </c>
      <c r="U32" s="8">
        <v>-15581</v>
      </c>
      <c r="V32" s="8">
        <v>-18053</v>
      </c>
      <c r="W32" s="347">
        <v>7838</v>
      </c>
      <c r="X32" s="8">
        <v>23083</v>
      </c>
      <c r="Y32" s="8">
        <v>23080</v>
      </c>
      <c r="Z32" s="8">
        <v>27169</v>
      </c>
      <c r="AA32" s="8">
        <v>656</v>
      </c>
      <c r="AB32" s="347">
        <v>114</v>
      </c>
    </row>
    <row r="33" spans="1:28" x14ac:dyDescent="0.35">
      <c r="A33" s="105" t="s">
        <v>421</v>
      </c>
      <c r="B33" s="105" t="s">
        <v>422</v>
      </c>
      <c r="C33" s="8">
        <v>266</v>
      </c>
      <c r="D33" s="8">
        <v>1251</v>
      </c>
      <c r="E33" s="8">
        <v>2159</v>
      </c>
      <c r="F33" s="8">
        <v>1349</v>
      </c>
      <c r="G33" s="8">
        <v>242</v>
      </c>
      <c r="H33" s="8">
        <v>442</v>
      </c>
      <c r="I33" s="8">
        <v>798</v>
      </c>
      <c r="J33" s="8">
        <v>914</v>
      </c>
      <c r="K33" s="8">
        <v>252</v>
      </c>
      <c r="L33" s="8">
        <v>522</v>
      </c>
      <c r="M33" s="8">
        <v>763</v>
      </c>
      <c r="N33" s="8">
        <v>915</v>
      </c>
      <c r="O33" s="8">
        <v>126</v>
      </c>
      <c r="P33" s="8">
        <v>394</v>
      </c>
      <c r="Q33" s="8">
        <v>937</v>
      </c>
      <c r="R33" s="8">
        <v>2950</v>
      </c>
      <c r="S33" s="8">
        <v>660</v>
      </c>
      <c r="T33" s="8">
        <v>6258</v>
      </c>
      <c r="U33" s="8">
        <v>7777</v>
      </c>
      <c r="V33" s="8">
        <v>13418</v>
      </c>
      <c r="W33" s="347">
        <v>2816</v>
      </c>
      <c r="X33" s="8">
        <v>13046</v>
      </c>
      <c r="Y33" s="8">
        <v>15687</v>
      </c>
      <c r="Z33" s="8">
        <v>24844</v>
      </c>
      <c r="AA33" s="8">
        <v>2160</v>
      </c>
      <c r="AB33" s="347">
        <v>10101</v>
      </c>
    </row>
    <row r="34" spans="1:28" x14ac:dyDescent="0.35">
      <c r="A34" s="105" t="s">
        <v>423</v>
      </c>
      <c r="B34" s="105" t="s">
        <v>424</v>
      </c>
      <c r="C34" s="8" t="s">
        <v>178</v>
      </c>
      <c r="D34" s="8">
        <v>1</v>
      </c>
      <c r="E34" s="8">
        <v>15</v>
      </c>
      <c r="F34" s="8">
        <v>15</v>
      </c>
      <c r="G34" s="8" t="s">
        <v>178</v>
      </c>
      <c r="H34" s="8">
        <v>1</v>
      </c>
      <c r="I34" s="8">
        <v>2</v>
      </c>
      <c r="J34" s="8">
        <v>1</v>
      </c>
      <c r="K34" s="8">
        <v>1</v>
      </c>
      <c r="L34" s="8">
        <v>4</v>
      </c>
      <c r="M34" s="8" t="s">
        <v>178</v>
      </c>
      <c r="N34" s="8">
        <v>2</v>
      </c>
      <c r="O34" s="8" t="s">
        <v>178</v>
      </c>
      <c r="P34" s="8">
        <v>8</v>
      </c>
      <c r="Q34" s="8">
        <v>6</v>
      </c>
      <c r="R34" s="8">
        <v>9</v>
      </c>
      <c r="S34" s="8" t="s">
        <v>178</v>
      </c>
      <c r="T34" s="8">
        <v>5</v>
      </c>
      <c r="U34" s="8">
        <v>26</v>
      </c>
      <c r="V34" s="8">
        <v>43</v>
      </c>
      <c r="W34" s="347" t="s">
        <v>178</v>
      </c>
      <c r="X34" s="8">
        <v>5</v>
      </c>
      <c r="Y34" s="8">
        <v>5</v>
      </c>
      <c r="Z34" s="8">
        <v>21</v>
      </c>
      <c r="AA34" s="8">
        <v>0</v>
      </c>
      <c r="AB34" s="347">
        <v>7</v>
      </c>
    </row>
    <row r="35" spans="1:28" x14ac:dyDescent="0.35">
      <c r="A35" s="105" t="s">
        <v>425</v>
      </c>
      <c r="B35" s="105" t="s">
        <v>426</v>
      </c>
      <c r="C35" s="8" t="s">
        <v>178</v>
      </c>
      <c r="D35" s="8" t="s">
        <v>178</v>
      </c>
      <c r="E35" s="8" t="s">
        <v>178</v>
      </c>
      <c r="F35" s="8">
        <v>-2881</v>
      </c>
      <c r="G35" s="8" t="s">
        <v>178</v>
      </c>
      <c r="H35" s="8" t="s">
        <v>178</v>
      </c>
      <c r="I35" s="8" t="s">
        <v>178</v>
      </c>
      <c r="J35" s="8">
        <v>0</v>
      </c>
      <c r="K35" s="8" t="s">
        <v>178</v>
      </c>
      <c r="L35" s="8" t="s">
        <v>178</v>
      </c>
      <c r="M35" s="8" t="s">
        <v>178</v>
      </c>
      <c r="N35" s="8">
        <v>0</v>
      </c>
      <c r="O35" s="8" t="s">
        <v>178</v>
      </c>
      <c r="P35" s="8" t="s">
        <v>178</v>
      </c>
      <c r="Q35" s="8" t="s">
        <v>178</v>
      </c>
      <c r="R35" s="8">
        <v>0</v>
      </c>
      <c r="S35" s="8" t="s">
        <v>178</v>
      </c>
      <c r="T35" s="8" t="s">
        <v>178</v>
      </c>
      <c r="U35" s="8" t="s">
        <v>178</v>
      </c>
      <c r="V35" s="8">
        <v>0</v>
      </c>
      <c r="W35" s="347">
        <v>-14142</v>
      </c>
      <c r="X35" s="8">
        <v>-14142</v>
      </c>
      <c r="Y35" s="8">
        <v>-25562</v>
      </c>
      <c r="Z35" s="8">
        <v>-25131</v>
      </c>
      <c r="AA35" s="8">
        <v>0</v>
      </c>
      <c r="AB35" s="347">
        <v>-24090</v>
      </c>
    </row>
    <row r="36" spans="1:28" x14ac:dyDescent="0.35">
      <c r="A36" s="105" t="s">
        <v>427</v>
      </c>
      <c r="B36" s="105" t="s">
        <v>428</v>
      </c>
      <c r="C36" s="8" t="s">
        <v>178</v>
      </c>
      <c r="D36" s="8" t="s">
        <v>178</v>
      </c>
      <c r="E36" s="8" t="s">
        <v>178</v>
      </c>
      <c r="F36" s="8" t="s">
        <v>178</v>
      </c>
      <c r="G36" s="8" t="s">
        <v>178</v>
      </c>
      <c r="H36" s="8" t="s">
        <v>178</v>
      </c>
      <c r="I36" s="8" t="s">
        <v>178</v>
      </c>
      <c r="J36" s="8">
        <v>0</v>
      </c>
      <c r="K36" s="8" t="s">
        <v>178</v>
      </c>
      <c r="L36" s="8" t="s">
        <v>178</v>
      </c>
      <c r="M36" s="8" t="s">
        <v>178</v>
      </c>
      <c r="N36" s="8">
        <v>0</v>
      </c>
      <c r="O36" s="8" t="s">
        <v>178</v>
      </c>
      <c r="P36" s="8" t="s">
        <v>178</v>
      </c>
      <c r="Q36" s="8" t="s">
        <v>178</v>
      </c>
      <c r="R36" s="8">
        <v>0</v>
      </c>
      <c r="S36" s="8" t="s">
        <v>178</v>
      </c>
      <c r="T36" s="8" t="s">
        <v>178</v>
      </c>
      <c r="U36" s="8">
        <v>-1263</v>
      </c>
      <c r="V36" s="8">
        <v>-1263</v>
      </c>
      <c r="W36" s="347">
        <v>0</v>
      </c>
      <c r="X36" s="8">
        <v>0</v>
      </c>
      <c r="Y36" s="8">
        <v>0</v>
      </c>
      <c r="Z36" s="8">
        <v>0</v>
      </c>
      <c r="AA36" s="8">
        <v>0</v>
      </c>
      <c r="AB36" s="347">
        <v>-75047</v>
      </c>
    </row>
    <row r="37" spans="1:28" x14ac:dyDescent="0.35">
      <c r="A37" s="105" t="s">
        <v>429</v>
      </c>
      <c r="B37" s="105" t="s">
        <v>430</v>
      </c>
      <c r="C37" s="8" t="s">
        <v>178</v>
      </c>
      <c r="D37" s="8" t="s">
        <v>178</v>
      </c>
      <c r="E37" s="8" t="s">
        <v>178</v>
      </c>
      <c r="F37" s="8" t="s">
        <v>178</v>
      </c>
      <c r="G37" s="8" t="s">
        <v>178</v>
      </c>
      <c r="H37" s="8" t="s">
        <v>178</v>
      </c>
      <c r="I37" s="8" t="s">
        <v>178</v>
      </c>
      <c r="J37" s="8">
        <v>0</v>
      </c>
      <c r="K37" s="8" t="s">
        <v>178</v>
      </c>
      <c r="L37" s="8" t="s">
        <v>178</v>
      </c>
      <c r="M37" s="8" t="s">
        <v>178</v>
      </c>
      <c r="N37" s="8">
        <v>0</v>
      </c>
      <c r="O37" s="8" t="s">
        <v>178</v>
      </c>
      <c r="P37" s="8" t="s">
        <v>178</v>
      </c>
      <c r="Q37" s="8">
        <v>2118</v>
      </c>
      <c r="R37" s="8">
        <v>2118</v>
      </c>
      <c r="S37" s="8" t="s">
        <v>178</v>
      </c>
      <c r="T37" s="8" t="s">
        <v>178</v>
      </c>
      <c r="U37" s="8" t="s">
        <v>178</v>
      </c>
      <c r="V37" s="8">
        <v>0</v>
      </c>
      <c r="W37" s="347">
        <v>0</v>
      </c>
      <c r="X37" s="8">
        <v>11395</v>
      </c>
      <c r="Y37" s="8">
        <v>11395</v>
      </c>
      <c r="Z37" s="8">
        <v>10831</v>
      </c>
      <c r="AA37" s="8">
        <v>0</v>
      </c>
      <c r="AB37" s="347">
        <v>0</v>
      </c>
    </row>
    <row r="38" spans="1:28" x14ac:dyDescent="0.35">
      <c r="A38" s="102" t="s">
        <v>431</v>
      </c>
      <c r="B38" s="102" t="s">
        <v>432</v>
      </c>
      <c r="C38" s="8">
        <v>-4656</v>
      </c>
      <c r="D38" s="8">
        <v>-14438</v>
      </c>
      <c r="E38" s="8">
        <v>-38385</v>
      </c>
      <c r="F38" s="8">
        <v>-45275</v>
      </c>
      <c r="G38" s="8">
        <v>-1979</v>
      </c>
      <c r="H38" s="8">
        <v>-10911</v>
      </c>
      <c r="I38" s="8">
        <v>-28306</v>
      </c>
      <c r="J38" s="8">
        <v>-59703</v>
      </c>
      <c r="K38" s="8">
        <v>-17477</v>
      </c>
      <c r="L38" s="8">
        <v>-27541</v>
      </c>
      <c r="M38" s="8">
        <v>-73684</v>
      </c>
      <c r="N38" s="8">
        <v>-98891</v>
      </c>
      <c r="O38" s="8">
        <v>-81356</v>
      </c>
      <c r="P38" s="8">
        <v>-183144</v>
      </c>
      <c r="Q38" s="8">
        <v>-212905</v>
      </c>
      <c r="R38" s="8">
        <v>-249172</v>
      </c>
      <c r="S38" s="8">
        <v>-33213</v>
      </c>
      <c r="T38" s="8">
        <v>-44433</v>
      </c>
      <c r="U38" s="8">
        <v>-72418</v>
      </c>
      <c r="V38" s="8">
        <v>-118827</v>
      </c>
      <c r="W38" s="347">
        <v>-36384</v>
      </c>
      <c r="X38" s="8">
        <v>22986</v>
      </c>
      <c r="Y38" s="8">
        <v>-6846</v>
      </c>
      <c r="Z38" s="8">
        <v>-20003</v>
      </c>
      <c r="AA38" s="8">
        <v>-36521</v>
      </c>
      <c r="AB38" s="347">
        <v>-91806</v>
      </c>
    </row>
    <row r="39" spans="1:28" x14ac:dyDescent="0.35">
      <c r="A39" s="111" t="s">
        <v>433</v>
      </c>
      <c r="B39" s="111" t="s">
        <v>434</v>
      </c>
      <c r="C39" s="12"/>
      <c r="D39" s="12"/>
      <c r="E39" s="12"/>
      <c r="F39" s="12"/>
      <c r="G39" s="12"/>
      <c r="H39" s="12"/>
      <c r="I39" s="12"/>
      <c r="J39" s="12"/>
      <c r="K39" s="12"/>
      <c r="L39" s="12"/>
      <c r="M39" s="12"/>
      <c r="N39" s="12"/>
      <c r="O39" s="12"/>
      <c r="P39" s="12"/>
      <c r="Q39" s="12"/>
      <c r="R39" s="17"/>
      <c r="S39" s="17"/>
      <c r="T39" s="17"/>
      <c r="U39" s="17"/>
      <c r="V39" s="17"/>
      <c r="W39" s="387"/>
      <c r="X39" s="17"/>
      <c r="Y39" s="17"/>
      <c r="Z39" s="17"/>
      <c r="AA39" s="17"/>
      <c r="AB39" s="387"/>
    </row>
    <row r="40" spans="1:28" x14ac:dyDescent="0.35">
      <c r="A40" s="105" t="s">
        <v>435</v>
      </c>
      <c r="B40" s="105" t="s">
        <v>436</v>
      </c>
      <c r="C40" s="8">
        <v>19</v>
      </c>
      <c r="D40" s="8">
        <v>-1926</v>
      </c>
      <c r="E40" s="8">
        <v>-1926</v>
      </c>
      <c r="F40" s="8">
        <v>-3653</v>
      </c>
      <c r="G40" s="8">
        <v>-23</v>
      </c>
      <c r="H40" s="8" t="s">
        <v>178</v>
      </c>
      <c r="I40" s="8">
        <v>-16</v>
      </c>
      <c r="J40" s="8">
        <v>-3539</v>
      </c>
      <c r="K40" s="8" t="s">
        <v>178</v>
      </c>
      <c r="L40" s="8" t="s">
        <v>178</v>
      </c>
      <c r="M40" s="8" t="s">
        <v>178</v>
      </c>
      <c r="N40" s="8">
        <v>-1650</v>
      </c>
      <c r="O40" s="8">
        <v>-791</v>
      </c>
      <c r="P40" s="8">
        <v>-819</v>
      </c>
      <c r="Q40" s="8">
        <v>-819</v>
      </c>
      <c r="R40" s="8">
        <v>-819</v>
      </c>
      <c r="S40" s="8">
        <v>-79</v>
      </c>
      <c r="T40" s="8">
        <v>-34</v>
      </c>
      <c r="U40" s="8">
        <v>-33</v>
      </c>
      <c r="V40" s="8">
        <v>-1326</v>
      </c>
      <c r="W40" s="347">
        <v>-628</v>
      </c>
      <c r="X40" s="8">
        <v>-7849</v>
      </c>
      <c r="Y40" s="8">
        <v>-17408</v>
      </c>
      <c r="Z40" s="8">
        <v>-29799</v>
      </c>
      <c r="AA40" s="8">
        <v>-6921</v>
      </c>
      <c r="AB40" s="347">
        <v>-6936</v>
      </c>
    </row>
    <row r="41" spans="1:28" x14ac:dyDescent="0.35">
      <c r="A41" s="105" t="s">
        <v>437</v>
      </c>
      <c r="B41" s="105" t="s">
        <v>438</v>
      </c>
      <c r="C41" s="8" t="s">
        <v>178</v>
      </c>
      <c r="D41" s="8">
        <v>-12673</v>
      </c>
      <c r="E41" s="8">
        <v>-12673</v>
      </c>
      <c r="F41" s="8">
        <v>-12673</v>
      </c>
      <c r="G41" s="8" t="s">
        <v>178</v>
      </c>
      <c r="H41" s="8">
        <v>-18645</v>
      </c>
      <c r="I41" s="8">
        <v>-18850</v>
      </c>
      <c r="J41" s="8">
        <v>-18850</v>
      </c>
      <c r="K41" s="8" t="s">
        <v>178</v>
      </c>
      <c r="L41" s="8">
        <v>-11775</v>
      </c>
      <c r="M41" s="8">
        <v>-12057</v>
      </c>
      <c r="N41" s="8">
        <v>-13500</v>
      </c>
      <c r="O41" s="8" t="s">
        <v>178</v>
      </c>
      <c r="P41" s="8">
        <v>-41959</v>
      </c>
      <c r="Q41" s="8">
        <v>-42140</v>
      </c>
      <c r="R41" s="8">
        <v>-42140</v>
      </c>
      <c r="S41" s="8">
        <v>-32</v>
      </c>
      <c r="T41" s="8">
        <v>-41981</v>
      </c>
      <c r="U41" s="8">
        <v>-41981</v>
      </c>
      <c r="V41" s="8">
        <v>-42146</v>
      </c>
      <c r="W41" s="347" t="s">
        <v>178</v>
      </c>
      <c r="X41" s="8">
        <v>-72777</v>
      </c>
      <c r="Y41" s="8">
        <v>-72863</v>
      </c>
      <c r="Z41" s="8">
        <v>-72863</v>
      </c>
      <c r="AA41" s="8">
        <v>-3</v>
      </c>
      <c r="AB41" s="347">
        <v>-78846</v>
      </c>
    </row>
    <row r="42" spans="1:28" x14ac:dyDescent="0.35">
      <c r="A42" s="105" t="s">
        <v>439</v>
      </c>
      <c r="B42" s="105" t="s">
        <v>440</v>
      </c>
      <c r="C42" s="8" t="s">
        <v>178</v>
      </c>
      <c r="D42" s="8" t="s">
        <v>178</v>
      </c>
      <c r="E42" s="8" t="s">
        <v>178</v>
      </c>
      <c r="F42" s="8" t="s">
        <v>178</v>
      </c>
      <c r="G42" s="8" t="s">
        <v>178</v>
      </c>
      <c r="H42" s="8" t="s">
        <v>178</v>
      </c>
      <c r="I42" s="8" t="s">
        <v>178</v>
      </c>
      <c r="J42" s="8">
        <v>-3791</v>
      </c>
      <c r="K42" s="8">
        <v>-625</v>
      </c>
      <c r="L42" s="8">
        <v>-1651</v>
      </c>
      <c r="M42" s="8">
        <v>-2817</v>
      </c>
      <c r="N42" s="8">
        <v>-3143</v>
      </c>
      <c r="O42" s="8">
        <v>-302</v>
      </c>
      <c r="P42" s="8">
        <v>-1568</v>
      </c>
      <c r="Q42" s="8">
        <v>-1663</v>
      </c>
      <c r="R42" s="8">
        <v>-2055</v>
      </c>
      <c r="S42" s="8">
        <v>-1228</v>
      </c>
      <c r="T42" s="8">
        <v>463</v>
      </c>
      <c r="U42" s="8">
        <v>-905</v>
      </c>
      <c r="V42" s="8">
        <v>-3437</v>
      </c>
      <c r="W42" s="347">
        <v>-1805</v>
      </c>
      <c r="X42" s="8">
        <v>-2529</v>
      </c>
      <c r="Y42" s="8">
        <v>-1017</v>
      </c>
      <c r="Z42" s="8">
        <v>-1327</v>
      </c>
      <c r="AA42" s="8">
        <v>-855</v>
      </c>
      <c r="AB42" s="347">
        <v>-1958</v>
      </c>
    </row>
    <row r="43" spans="1:28" x14ac:dyDescent="0.35">
      <c r="A43" s="105" t="s">
        <v>441</v>
      </c>
      <c r="B43" s="105" t="s">
        <v>442</v>
      </c>
      <c r="C43" s="8" t="s">
        <v>178</v>
      </c>
      <c r="D43" s="8" t="s">
        <v>178</v>
      </c>
      <c r="E43" s="8" t="s">
        <v>178</v>
      </c>
      <c r="F43" s="8" t="s">
        <v>178</v>
      </c>
      <c r="G43" s="8">
        <v>14</v>
      </c>
      <c r="H43" s="8" t="s">
        <v>178</v>
      </c>
      <c r="I43" s="8">
        <v>-2</v>
      </c>
      <c r="J43" s="8">
        <v>-2</v>
      </c>
      <c r="K43" s="8" t="s">
        <v>178</v>
      </c>
      <c r="L43" s="8" t="s">
        <v>178</v>
      </c>
      <c r="M43" s="8" t="s">
        <v>178</v>
      </c>
      <c r="N43" s="8" t="s">
        <v>178</v>
      </c>
      <c r="O43" s="8" t="s">
        <v>178</v>
      </c>
      <c r="P43" s="8">
        <v>-15207</v>
      </c>
      <c r="Q43" s="8">
        <v>-63559</v>
      </c>
      <c r="R43" s="8">
        <v>-244846</v>
      </c>
      <c r="S43" s="8">
        <v>-157826</v>
      </c>
      <c r="T43" s="8">
        <v>-165275</v>
      </c>
      <c r="U43" s="8">
        <v>-178487</v>
      </c>
      <c r="V43" s="8">
        <v>-178487</v>
      </c>
      <c r="W43" s="347" t="s">
        <v>178</v>
      </c>
      <c r="X43" s="8">
        <v>-15792</v>
      </c>
      <c r="Y43" s="8">
        <v>-15748</v>
      </c>
      <c r="Z43" s="8">
        <v>-35753</v>
      </c>
      <c r="AA43" s="8">
        <v>-70007</v>
      </c>
      <c r="AB43" s="347">
        <v>-105011</v>
      </c>
    </row>
    <row r="44" spans="1:28" x14ac:dyDescent="0.35">
      <c r="A44" s="105" t="s">
        <v>443</v>
      </c>
      <c r="B44" s="105" t="s">
        <v>444</v>
      </c>
      <c r="C44" s="8" t="s">
        <v>178</v>
      </c>
      <c r="D44" s="8" t="s">
        <v>178</v>
      </c>
      <c r="E44" s="8" t="s">
        <v>178</v>
      </c>
      <c r="F44" s="8" t="s">
        <v>178</v>
      </c>
      <c r="G44" s="8" t="s">
        <v>178</v>
      </c>
      <c r="H44" s="8">
        <v>28</v>
      </c>
      <c r="I44" s="8" t="s">
        <v>178</v>
      </c>
      <c r="J44" s="8" t="s">
        <v>178</v>
      </c>
      <c r="K44" s="8" t="s">
        <v>178</v>
      </c>
      <c r="L44" s="8" t="s">
        <v>178</v>
      </c>
      <c r="M44" s="8" t="s">
        <v>178</v>
      </c>
      <c r="N44" s="8" t="s">
        <v>178</v>
      </c>
      <c r="O44" s="8" t="s">
        <v>178</v>
      </c>
      <c r="P44" s="8">
        <v>86407</v>
      </c>
      <c r="Q44" s="8">
        <v>139149</v>
      </c>
      <c r="R44" s="8">
        <v>315119</v>
      </c>
      <c r="S44" s="8">
        <v>157826</v>
      </c>
      <c r="T44" s="8">
        <v>166478</v>
      </c>
      <c r="U44" s="8">
        <v>178487</v>
      </c>
      <c r="V44" s="8">
        <v>178487</v>
      </c>
      <c r="W44" s="347" t="s">
        <v>178</v>
      </c>
      <c r="X44" s="8">
        <v>15792</v>
      </c>
      <c r="Y44" s="8">
        <v>35748</v>
      </c>
      <c r="Z44" s="8">
        <v>35935</v>
      </c>
      <c r="AA44" s="8">
        <v>70005</v>
      </c>
      <c r="AB44" s="347">
        <v>139983</v>
      </c>
    </row>
    <row r="45" spans="1:28" x14ac:dyDescent="0.35">
      <c r="A45" s="102" t="s">
        <v>445</v>
      </c>
      <c r="B45" s="102" t="s">
        <v>446</v>
      </c>
      <c r="C45" s="8">
        <v>19</v>
      </c>
      <c r="D45" s="8">
        <v>-14599</v>
      </c>
      <c r="E45" s="8">
        <v>-14599</v>
      </c>
      <c r="F45" s="8">
        <v>-16326</v>
      </c>
      <c r="G45" s="8">
        <v>-9</v>
      </c>
      <c r="H45" s="8">
        <v>-18617</v>
      </c>
      <c r="I45" s="8">
        <v>-18868</v>
      </c>
      <c r="J45" s="8">
        <v>-26182</v>
      </c>
      <c r="K45" s="8">
        <v>-625</v>
      </c>
      <c r="L45" s="8">
        <v>-13426</v>
      </c>
      <c r="M45" s="8">
        <v>-14874</v>
      </c>
      <c r="N45" s="8">
        <v>-18293</v>
      </c>
      <c r="O45" s="8">
        <v>-1093</v>
      </c>
      <c r="P45" s="8">
        <v>26854</v>
      </c>
      <c r="Q45" s="8">
        <v>30968</v>
      </c>
      <c r="R45" s="8">
        <v>25259</v>
      </c>
      <c r="S45" s="8">
        <v>-1339</v>
      </c>
      <c r="T45" s="8">
        <v>-40349</v>
      </c>
      <c r="U45" s="8">
        <v>-42919</v>
      </c>
      <c r="V45" s="8">
        <v>-46909</v>
      </c>
      <c r="W45" s="347">
        <v>-2433</v>
      </c>
      <c r="X45" s="8">
        <v>-83155</v>
      </c>
      <c r="Y45" s="8">
        <v>-71288</v>
      </c>
      <c r="Z45" s="8">
        <v>-103807</v>
      </c>
      <c r="AA45" s="8">
        <v>-7781</v>
      </c>
      <c r="AB45" s="347">
        <v>-52768</v>
      </c>
    </row>
    <row r="46" spans="1:28" x14ac:dyDescent="0.35">
      <c r="A46" s="102" t="s">
        <v>447</v>
      </c>
      <c r="B46" s="102" t="s">
        <v>448</v>
      </c>
      <c r="C46" s="8">
        <v>31510</v>
      </c>
      <c r="D46" s="8">
        <v>34454</v>
      </c>
      <c r="E46" s="8">
        <v>41648</v>
      </c>
      <c r="F46" s="8">
        <v>39643</v>
      </c>
      <c r="G46" s="8">
        <v>17987</v>
      </c>
      <c r="H46" s="8">
        <v>16831</v>
      </c>
      <c r="I46" s="8">
        <v>20928</v>
      </c>
      <c r="J46" s="8">
        <v>12329</v>
      </c>
      <c r="K46" s="8">
        <v>21600</v>
      </c>
      <c r="L46" s="8">
        <v>28034</v>
      </c>
      <c r="M46" s="8">
        <v>24628</v>
      </c>
      <c r="N46" s="8">
        <v>16336</v>
      </c>
      <c r="O46" s="8">
        <v>-50876</v>
      </c>
      <c r="P46" s="8">
        <v>-100760</v>
      </c>
      <c r="Q46" s="8">
        <v>-83435</v>
      </c>
      <c r="R46" s="8">
        <v>-84009</v>
      </c>
      <c r="S46" s="8">
        <v>17377</v>
      </c>
      <c r="T46" s="8">
        <v>228</v>
      </c>
      <c r="U46" s="8">
        <v>18526</v>
      </c>
      <c r="V46" s="8">
        <v>20260</v>
      </c>
      <c r="W46" s="347">
        <v>6631</v>
      </c>
      <c r="X46" s="8">
        <v>-8614</v>
      </c>
      <c r="Y46" s="8">
        <v>16640</v>
      </c>
      <c r="Z46" s="8">
        <v>-140</v>
      </c>
      <c r="AA46" s="8">
        <v>13133</v>
      </c>
      <c r="AB46" s="347">
        <v>-23613</v>
      </c>
    </row>
    <row r="47" spans="1:28" x14ac:dyDescent="0.35">
      <c r="A47" s="102" t="s">
        <v>449</v>
      </c>
      <c r="B47" s="102" t="s">
        <v>450</v>
      </c>
      <c r="C47" s="8">
        <v>76041</v>
      </c>
      <c r="D47" s="8">
        <v>76041</v>
      </c>
      <c r="E47" s="8">
        <v>76041</v>
      </c>
      <c r="F47" s="8">
        <v>76041</v>
      </c>
      <c r="G47" s="8">
        <v>113021</v>
      </c>
      <c r="H47" s="8">
        <v>113021</v>
      </c>
      <c r="I47" s="8">
        <v>113021</v>
      </c>
      <c r="J47" s="8">
        <v>113021</v>
      </c>
      <c r="K47" s="8">
        <v>128573</v>
      </c>
      <c r="L47" s="8">
        <v>128573</v>
      </c>
      <c r="M47" s="8">
        <v>128573</v>
      </c>
      <c r="N47" s="8">
        <v>128573</v>
      </c>
      <c r="O47" s="8">
        <v>142262</v>
      </c>
      <c r="P47" s="8">
        <v>142262</v>
      </c>
      <c r="Q47" s="8">
        <v>142068</v>
      </c>
      <c r="R47" s="8">
        <v>142068</v>
      </c>
      <c r="S47" s="8">
        <v>59856</v>
      </c>
      <c r="T47" s="8">
        <v>59856</v>
      </c>
      <c r="U47" s="8">
        <v>59856</v>
      </c>
      <c r="V47" s="8">
        <v>59856</v>
      </c>
      <c r="W47" s="347">
        <v>79719</v>
      </c>
      <c r="X47" s="8">
        <v>79719</v>
      </c>
      <c r="Y47" s="8">
        <v>79719</v>
      </c>
      <c r="Z47" s="8">
        <v>79719</v>
      </c>
      <c r="AA47" s="8">
        <v>80493</v>
      </c>
      <c r="AB47" s="347">
        <v>80493</v>
      </c>
    </row>
    <row r="48" spans="1:28" x14ac:dyDescent="0.35">
      <c r="A48" s="105" t="s">
        <v>451</v>
      </c>
      <c r="B48" s="105" t="s">
        <v>452</v>
      </c>
      <c r="C48" s="8">
        <v>-5834</v>
      </c>
      <c r="D48" s="8">
        <v>-3194</v>
      </c>
      <c r="E48" s="8">
        <v>-7626</v>
      </c>
      <c r="F48" s="8">
        <v>-2663</v>
      </c>
      <c r="G48" s="8">
        <v>-2145</v>
      </c>
      <c r="H48" s="8">
        <v>2023</v>
      </c>
      <c r="I48" s="8">
        <v>3051</v>
      </c>
      <c r="J48" s="8">
        <v>3223</v>
      </c>
      <c r="K48" s="8">
        <v>-2808</v>
      </c>
      <c r="L48" s="8">
        <v>-547</v>
      </c>
      <c r="M48" s="8">
        <v>-2085</v>
      </c>
      <c r="N48" s="8">
        <v>-2647</v>
      </c>
      <c r="O48" s="8">
        <v>316</v>
      </c>
      <c r="P48" s="8">
        <v>-572</v>
      </c>
      <c r="Q48" s="8">
        <v>418</v>
      </c>
      <c r="R48" s="8">
        <v>1603</v>
      </c>
      <c r="S48" s="8">
        <v>-3204</v>
      </c>
      <c r="T48" s="8">
        <v>-326</v>
      </c>
      <c r="U48" s="8">
        <v>-1227</v>
      </c>
      <c r="V48" s="8">
        <v>563</v>
      </c>
      <c r="W48" s="347">
        <v>1215</v>
      </c>
      <c r="X48" s="8">
        <v>-33</v>
      </c>
      <c r="Y48" s="8">
        <v>932</v>
      </c>
      <c r="Z48" s="8">
        <v>-46</v>
      </c>
      <c r="AA48" s="8">
        <v>468</v>
      </c>
      <c r="AB48" s="347">
        <v>40</v>
      </c>
    </row>
    <row r="49" spans="1:28" x14ac:dyDescent="0.35">
      <c r="A49" s="102" t="s">
        <v>453</v>
      </c>
      <c r="B49" s="102" t="s">
        <v>454</v>
      </c>
      <c r="C49" s="8">
        <v>101717</v>
      </c>
      <c r="D49" s="8">
        <v>107301</v>
      </c>
      <c r="E49" s="8">
        <v>110063</v>
      </c>
      <c r="F49" s="8">
        <v>113021</v>
      </c>
      <c r="G49" s="8">
        <v>128863</v>
      </c>
      <c r="H49" s="8">
        <v>131875</v>
      </c>
      <c r="I49" s="8">
        <v>137000</v>
      </c>
      <c r="J49" s="8">
        <v>128573</v>
      </c>
      <c r="K49" s="8">
        <v>147365</v>
      </c>
      <c r="L49" s="8">
        <v>156060</v>
      </c>
      <c r="M49" s="8">
        <v>151116</v>
      </c>
      <c r="N49" s="8">
        <v>142262</v>
      </c>
      <c r="O49" s="8">
        <v>91702</v>
      </c>
      <c r="P49" s="8">
        <v>40930</v>
      </c>
      <c r="Q49" s="8">
        <v>59051</v>
      </c>
      <c r="R49" s="8">
        <v>59662</v>
      </c>
      <c r="S49" s="8">
        <v>74029</v>
      </c>
      <c r="T49" s="8">
        <v>59758</v>
      </c>
      <c r="U49" s="8">
        <v>77155</v>
      </c>
      <c r="V49" s="8">
        <v>80679</v>
      </c>
      <c r="W49" s="347">
        <v>87565</v>
      </c>
      <c r="X49" s="8">
        <v>71072</v>
      </c>
      <c r="Y49" s="8">
        <v>97291</v>
      </c>
      <c r="Z49" s="8">
        <v>79533</v>
      </c>
      <c r="AA49" s="8">
        <v>94094</v>
      </c>
      <c r="AB49" s="347">
        <v>56920</v>
      </c>
    </row>
    <row r="50" spans="1:28" x14ac:dyDescent="0.35">
      <c r="A50" s="14"/>
      <c r="B50" s="14"/>
      <c r="C50" s="8"/>
      <c r="D50" s="8"/>
      <c r="E50" s="8"/>
      <c r="F50" s="8"/>
      <c r="G50" s="8"/>
      <c r="H50" s="8"/>
      <c r="I50" s="8"/>
      <c r="J50" s="8"/>
      <c r="K50" s="8"/>
      <c r="L50" s="8"/>
      <c r="M50" s="8"/>
      <c r="N50" s="8"/>
      <c r="O50" s="8"/>
      <c r="P50" s="8"/>
      <c r="Q50" s="8"/>
      <c r="R50" s="8"/>
      <c r="S50" s="8"/>
      <c r="T50" s="8"/>
      <c r="U50" s="88"/>
      <c r="V50" s="8"/>
      <c r="W50" s="8"/>
      <c r="X50" s="8"/>
      <c r="Y50" s="8"/>
      <c r="Z50" s="88"/>
      <c r="AA50" s="88"/>
      <c r="AB50" s="8"/>
    </row>
    <row r="51" spans="1:28" x14ac:dyDescent="0.35">
      <c r="A51" s="14"/>
      <c r="B51" s="14"/>
      <c r="C51" s="88"/>
      <c r="D51" s="88"/>
      <c r="E51" s="88"/>
      <c r="F51" s="168">
        <f>F40+F41</f>
        <v>-16326</v>
      </c>
      <c r="G51" s="88"/>
      <c r="H51" s="88"/>
      <c r="I51" s="88"/>
      <c r="J51" s="88"/>
      <c r="K51" s="88"/>
      <c r="L51" s="88"/>
      <c r="M51" s="88"/>
      <c r="N51" s="88"/>
      <c r="O51" s="88"/>
      <c r="P51" s="88"/>
      <c r="Q51" s="88"/>
      <c r="R51" s="88"/>
      <c r="S51" s="88"/>
      <c r="T51" s="88"/>
      <c r="U51" s="88"/>
      <c r="V51" s="8"/>
      <c r="W51" s="8"/>
      <c r="X51" s="8"/>
      <c r="Y51" s="8"/>
      <c r="Z51" s="88"/>
      <c r="AA51" s="88"/>
      <c r="AB51" s="8"/>
    </row>
    <row r="52" spans="1:28" x14ac:dyDescent="0.35">
      <c r="A52" s="14"/>
      <c r="B52" s="14"/>
      <c r="C52" s="88"/>
      <c r="D52" s="88"/>
      <c r="E52" s="88"/>
      <c r="F52" s="8"/>
      <c r="G52" s="88"/>
      <c r="H52" s="88"/>
      <c r="I52" s="88"/>
      <c r="J52" s="88"/>
      <c r="K52" s="88"/>
      <c r="L52" s="88"/>
      <c r="M52" s="88"/>
      <c r="N52" s="88"/>
      <c r="O52" s="88"/>
      <c r="P52" s="88"/>
      <c r="Q52" s="88"/>
      <c r="R52" s="88"/>
      <c r="S52" s="88"/>
      <c r="T52" s="88"/>
      <c r="U52" s="88"/>
      <c r="V52" s="8"/>
      <c r="W52" s="8"/>
      <c r="X52" s="8"/>
      <c r="Y52" s="8"/>
      <c r="Z52" s="88"/>
      <c r="AA52" s="88"/>
      <c r="AB52" s="8"/>
    </row>
    <row r="53" spans="1:28" x14ac:dyDescent="0.35">
      <c r="A53" s="226" t="s">
        <v>220</v>
      </c>
      <c r="B53" s="226" t="s">
        <v>221</v>
      </c>
      <c r="C53" s="88"/>
      <c r="D53" s="88"/>
      <c r="E53" s="88"/>
      <c r="F53" s="88"/>
      <c r="G53" s="88"/>
      <c r="H53" s="88"/>
      <c r="I53" s="88"/>
      <c r="J53" s="88"/>
      <c r="K53" s="88"/>
      <c r="L53" s="88"/>
      <c r="M53" s="88"/>
      <c r="N53" s="88"/>
      <c r="O53" s="88"/>
      <c r="P53" s="88"/>
      <c r="Q53" s="88"/>
      <c r="R53" s="88"/>
      <c r="S53" s="88"/>
      <c r="T53" s="88"/>
      <c r="U53" s="88"/>
      <c r="V53" s="8"/>
      <c r="W53" s="8"/>
      <c r="X53" s="8"/>
      <c r="Y53" s="8"/>
      <c r="Z53" s="88"/>
      <c r="AA53" s="88"/>
      <c r="AB53" s="8"/>
    </row>
    <row r="54" spans="1:28" x14ac:dyDescent="0.35">
      <c r="A54" s="14"/>
      <c r="B54" s="14"/>
      <c r="C54" s="88"/>
      <c r="D54" s="88"/>
      <c r="E54" s="88"/>
      <c r="F54" s="88"/>
      <c r="G54" s="88"/>
      <c r="H54" s="88"/>
      <c r="I54" s="88"/>
      <c r="J54" s="88"/>
      <c r="K54" s="88"/>
      <c r="L54" s="88"/>
      <c r="M54" s="88"/>
      <c r="N54" s="88"/>
      <c r="O54" s="88"/>
      <c r="P54" s="88"/>
      <c r="Q54" s="88"/>
      <c r="R54" s="88"/>
      <c r="S54" s="88"/>
      <c r="T54" s="88"/>
      <c r="U54" s="88"/>
      <c r="V54" s="8"/>
      <c r="W54" s="8"/>
      <c r="X54" s="8"/>
      <c r="Y54" s="8"/>
      <c r="Z54" s="88"/>
      <c r="AA54" s="88"/>
      <c r="AB54" s="8"/>
    </row>
    <row r="55" spans="1:28" x14ac:dyDescent="0.35">
      <c r="A55" s="14"/>
      <c r="B55" s="14"/>
      <c r="C55" s="88"/>
      <c r="D55" s="88"/>
      <c r="E55" s="88"/>
      <c r="F55" s="88"/>
      <c r="G55" s="88"/>
      <c r="H55" s="88"/>
      <c r="I55" s="88"/>
      <c r="J55" s="88"/>
      <c r="K55" s="88"/>
      <c r="L55" s="88"/>
      <c r="M55" s="88"/>
      <c r="N55" s="88"/>
      <c r="O55" s="88"/>
      <c r="P55" s="88"/>
      <c r="Q55" s="88"/>
      <c r="R55" s="88"/>
      <c r="S55" s="88"/>
      <c r="T55" s="88"/>
      <c r="U55" s="88"/>
      <c r="V55" s="8"/>
      <c r="W55" s="8"/>
      <c r="X55" s="8"/>
      <c r="Y55" s="8"/>
      <c r="Z55" s="88"/>
      <c r="AA55" s="88"/>
      <c r="AB55" s="8"/>
    </row>
    <row r="56" spans="1:28" x14ac:dyDescent="0.35">
      <c r="A56" s="14"/>
      <c r="B56" s="14"/>
      <c r="C56" s="88"/>
      <c r="D56" s="88"/>
      <c r="E56" s="88"/>
      <c r="F56" s="88"/>
      <c r="G56" s="88"/>
      <c r="H56" s="88"/>
      <c r="I56" s="88"/>
      <c r="J56" s="88"/>
      <c r="K56" s="88"/>
      <c r="L56" s="88"/>
      <c r="M56" s="88"/>
      <c r="N56" s="88"/>
      <c r="O56" s="88"/>
      <c r="P56" s="88"/>
      <c r="Q56" s="88"/>
      <c r="R56" s="88"/>
      <c r="S56" s="88"/>
      <c r="T56" s="88"/>
      <c r="U56" s="88"/>
      <c r="V56" s="8"/>
      <c r="W56" s="8"/>
      <c r="X56" s="8"/>
      <c r="Y56" s="8"/>
      <c r="Z56" s="88"/>
      <c r="AA56" s="88"/>
      <c r="AB56" s="8"/>
    </row>
    <row r="57" spans="1:28" x14ac:dyDescent="0.35">
      <c r="A57" s="14"/>
      <c r="B57" s="14"/>
      <c r="C57" s="88"/>
      <c r="D57" s="88"/>
      <c r="E57" s="88"/>
      <c r="F57" s="88"/>
      <c r="G57" s="88"/>
      <c r="H57" s="88"/>
      <c r="I57" s="88"/>
      <c r="J57" s="88"/>
      <c r="K57" s="88"/>
      <c r="L57" s="88"/>
      <c r="M57" s="88"/>
      <c r="N57" s="88"/>
      <c r="O57" s="88"/>
      <c r="P57" s="88"/>
      <c r="Q57" s="88"/>
      <c r="R57" s="88"/>
      <c r="S57" s="88"/>
      <c r="T57" s="88"/>
      <c r="U57" s="88"/>
      <c r="V57" s="8"/>
      <c r="W57" s="8"/>
      <c r="X57" s="8"/>
      <c r="Y57" s="8"/>
      <c r="Z57" s="88"/>
      <c r="AA57" s="88"/>
      <c r="AB57" s="8"/>
    </row>
    <row r="58" spans="1:28" x14ac:dyDescent="0.35">
      <c r="A58" s="14"/>
      <c r="B58" s="14"/>
      <c r="C58" s="88"/>
      <c r="D58" s="88"/>
      <c r="E58" s="88"/>
      <c r="F58" s="88"/>
      <c r="G58" s="88"/>
      <c r="H58" s="88"/>
      <c r="I58" s="88"/>
      <c r="J58" s="88"/>
      <c r="K58" s="88"/>
      <c r="L58" s="88"/>
      <c r="M58" s="88"/>
      <c r="N58" s="88"/>
      <c r="O58" s="88"/>
      <c r="P58" s="88"/>
      <c r="Q58" s="88"/>
      <c r="R58" s="88"/>
      <c r="S58" s="88"/>
      <c r="T58" s="88"/>
      <c r="U58" s="88"/>
      <c r="V58" s="8"/>
      <c r="W58" s="8"/>
      <c r="X58" s="8"/>
      <c r="Y58" s="8"/>
      <c r="Z58" s="88"/>
      <c r="AA58" s="88"/>
      <c r="AB58" s="8"/>
    </row>
    <row r="59" spans="1:28" x14ac:dyDescent="0.35">
      <c r="A59" s="14"/>
      <c r="B59" s="14"/>
      <c r="C59" s="88"/>
      <c r="D59" s="88"/>
      <c r="E59" s="88"/>
      <c r="F59" s="88"/>
      <c r="G59" s="88"/>
      <c r="H59" s="88"/>
      <c r="I59" s="88"/>
      <c r="J59" s="88"/>
      <c r="K59" s="88"/>
      <c r="L59" s="88"/>
      <c r="M59" s="88"/>
      <c r="N59" s="88"/>
      <c r="O59" s="88"/>
      <c r="P59" s="88"/>
      <c r="Q59" s="88"/>
      <c r="R59" s="88"/>
      <c r="S59" s="88"/>
      <c r="T59" s="88"/>
      <c r="U59" s="88"/>
      <c r="V59" s="8"/>
      <c r="W59" s="8"/>
      <c r="X59" s="8"/>
      <c r="Y59" s="8"/>
      <c r="Z59" s="88"/>
      <c r="AA59" s="88"/>
      <c r="AB59" s="8"/>
    </row>
    <row r="60" spans="1:28" x14ac:dyDescent="0.35">
      <c r="A60" s="14"/>
      <c r="B60" s="14"/>
      <c r="C60" s="88"/>
      <c r="D60" s="88"/>
      <c r="E60" s="88"/>
      <c r="F60" s="88"/>
      <c r="G60" s="88"/>
      <c r="H60" s="88"/>
      <c r="I60" s="88"/>
      <c r="J60" s="88"/>
      <c r="K60" s="88"/>
      <c r="L60" s="88"/>
      <c r="M60" s="88"/>
      <c r="N60" s="88"/>
      <c r="O60" s="88"/>
      <c r="P60" s="88"/>
      <c r="Q60" s="88"/>
      <c r="R60" s="88"/>
      <c r="S60" s="88"/>
      <c r="T60" s="88"/>
      <c r="U60" s="88"/>
      <c r="V60" s="8"/>
      <c r="W60" s="8"/>
      <c r="X60" s="8"/>
      <c r="Y60" s="8"/>
      <c r="Z60" s="88"/>
      <c r="AA60" s="88"/>
      <c r="AB60" s="8"/>
    </row>
    <row r="61" spans="1:28" x14ac:dyDescent="0.35">
      <c r="A61" s="14"/>
      <c r="B61" s="14"/>
      <c r="C61" s="88"/>
      <c r="D61" s="88"/>
      <c r="E61" s="88"/>
      <c r="F61" s="88"/>
      <c r="G61" s="88"/>
      <c r="H61" s="88"/>
      <c r="I61" s="88"/>
      <c r="J61" s="88"/>
      <c r="K61" s="88"/>
      <c r="L61" s="88"/>
      <c r="M61" s="88"/>
      <c r="N61" s="88"/>
      <c r="O61" s="88"/>
      <c r="P61" s="88"/>
      <c r="Q61" s="88"/>
      <c r="R61" s="88"/>
      <c r="S61" s="88"/>
      <c r="T61" s="88"/>
      <c r="U61" s="88"/>
      <c r="V61" s="8"/>
      <c r="W61" s="8"/>
      <c r="X61" s="8"/>
      <c r="Y61" s="8"/>
      <c r="Z61" s="88"/>
      <c r="AA61" s="88"/>
      <c r="AB61" s="8"/>
    </row>
    <row r="62" spans="1:28" x14ac:dyDescent="0.35">
      <c r="A62" s="14"/>
      <c r="B62" s="14"/>
      <c r="C62" s="88"/>
      <c r="D62" s="88"/>
      <c r="E62" s="88"/>
      <c r="F62" s="88"/>
      <c r="G62" s="88"/>
      <c r="H62" s="88"/>
      <c r="I62" s="88"/>
      <c r="J62" s="88"/>
      <c r="K62" s="88"/>
      <c r="L62" s="88"/>
      <c r="M62" s="88"/>
      <c r="N62" s="88"/>
      <c r="O62" s="88"/>
      <c r="P62" s="88"/>
      <c r="Q62" s="88"/>
      <c r="R62" s="88"/>
      <c r="S62" s="88"/>
      <c r="T62" s="88"/>
      <c r="U62" s="88"/>
      <c r="V62" s="8"/>
      <c r="W62" s="8"/>
      <c r="X62" s="8"/>
      <c r="Y62" s="8"/>
      <c r="Z62" s="88"/>
      <c r="AA62" s="88"/>
      <c r="AB62" s="8"/>
    </row>
    <row r="63" spans="1:28" x14ac:dyDescent="0.35">
      <c r="A63" s="14"/>
      <c r="B63" s="14"/>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row>
    <row r="64" spans="1:28" x14ac:dyDescent="0.35">
      <c r="A64" s="87"/>
      <c r="B64" s="87"/>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row>
    <row r="65" spans="1:28" x14ac:dyDescent="0.35">
      <c r="A65" s="87"/>
      <c r="B65" s="87"/>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row>
    <row r="66" spans="1:28" x14ac:dyDescent="0.35">
      <c r="A66" s="87"/>
      <c r="B66" s="87"/>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row>
    <row r="67" spans="1:28" x14ac:dyDescent="0.35">
      <c r="U67" s="88"/>
      <c r="V67" s="88"/>
      <c r="W67" s="88"/>
      <c r="X67" s="88"/>
      <c r="Y67" s="88"/>
      <c r="Z67" s="36"/>
      <c r="AA67" s="36"/>
      <c r="AB67" s="88"/>
    </row>
    <row r="68" spans="1:28" x14ac:dyDescent="0.35">
      <c r="S68" s="66"/>
      <c r="T68" s="66"/>
      <c r="W68" s="36"/>
      <c r="X68" s="36"/>
      <c r="Y68" s="36"/>
      <c r="Z68" s="66"/>
      <c r="AA68" s="66"/>
      <c r="AB68" s="36"/>
    </row>
    <row r="69" spans="1:28" x14ac:dyDescent="0.35">
      <c r="A69" s="65"/>
      <c r="B69" s="65"/>
      <c r="D69" s="31"/>
      <c r="U69" s="66"/>
      <c r="V69" s="66"/>
      <c r="W69" s="66"/>
      <c r="X69" s="66"/>
      <c r="Y69" s="66"/>
      <c r="AB69" s="66"/>
    </row>
    <row r="71" spans="1:28" x14ac:dyDescent="0.35">
      <c r="E71" s="20"/>
    </row>
    <row r="72" spans="1:28" x14ac:dyDescent="0.35">
      <c r="E72" s="20"/>
      <c r="G72" s="20"/>
    </row>
    <row r="73" spans="1:28" x14ac:dyDescent="0.35">
      <c r="E73" s="20"/>
      <c r="G73" s="20"/>
    </row>
    <row r="74" spans="1:28" x14ac:dyDescent="0.35">
      <c r="E74" s="20"/>
    </row>
    <row r="75" spans="1:28" x14ac:dyDescent="0.35">
      <c r="E75" s="20"/>
    </row>
  </sheetData>
  <mergeCells count="2">
    <mergeCell ref="B2:B3"/>
    <mergeCell ref="A2:A3"/>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FE81-AA98-4D8F-8F7D-A20641B007C6}">
  <sheetPr>
    <tabColor rgb="FF0070C0"/>
  </sheetPr>
  <dimension ref="A1:N350"/>
  <sheetViews>
    <sheetView zoomScale="68" zoomScaleNormal="68" workbookViewId="0">
      <selection activeCell="M124" sqref="M124"/>
    </sheetView>
  </sheetViews>
  <sheetFormatPr defaultRowHeight="14.5" outlineLevelRow="1" x14ac:dyDescent="0.35"/>
  <cols>
    <col min="1" max="1" width="66.81640625" customWidth="1"/>
    <col min="2" max="2" width="100.81640625" customWidth="1"/>
    <col min="3" max="9" width="15" customWidth="1"/>
    <col min="10" max="10" width="15.54296875" bestFit="1" customWidth="1"/>
    <col min="11" max="11" width="16.54296875" customWidth="1"/>
    <col min="12" max="12" width="15" customWidth="1"/>
    <col min="13" max="13" width="17.1796875" customWidth="1"/>
  </cols>
  <sheetData>
    <row r="1" spans="1:14" ht="33.75" customHeight="1" x14ac:dyDescent="0.35"/>
    <row r="2" spans="1:14" ht="17.149999999999999" customHeight="1" thickBot="1" x14ac:dyDescent="0.4">
      <c r="A2" s="485">
        <v>2024</v>
      </c>
      <c r="B2" s="485"/>
      <c r="C2" s="485"/>
      <c r="D2" s="485"/>
      <c r="E2" s="485"/>
      <c r="F2" s="485"/>
      <c r="G2" s="485"/>
      <c r="H2" s="485"/>
      <c r="I2" s="485"/>
      <c r="J2" s="485"/>
      <c r="K2" s="485"/>
      <c r="L2" s="485"/>
      <c r="M2" s="485"/>
    </row>
    <row r="3" spans="1:14" ht="15.5" thickTop="1" thickBot="1" x14ac:dyDescent="0.4">
      <c r="A3" s="417" t="s">
        <v>1168</v>
      </c>
      <c r="B3" s="418"/>
      <c r="C3" s="418"/>
      <c r="D3" s="418"/>
      <c r="E3" s="418"/>
      <c r="F3" s="418"/>
      <c r="G3" s="418"/>
      <c r="H3" s="418"/>
      <c r="I3" s="418"/>
      <c r="J3" s="418"/>
      <c r="K3" s="418"/>
      <c r="L3" s="418"/>
      <c r="M3" s="419"/>
    </row>
    <row r="4" spans="1:14" ht="144" outlineLevel="1" thickTop="1" x14ac:dyDescent="0.35">
      <c r="A4" s="127" t="s">
        <v>62</v>
      </c>
      <c r="B4" s="127" t="s">
        <v>62</v>
      </c>
      <c r="C4" s="128" t="s">
        <v>455</v>
      </c>
      <c r="D4" s="128" t="s">
        <v>456</v>
      </c>
      <c r="E4" s="128" t="s">
        <v>457</v>
      </c>
      <c r="F4" s="128" t="s">
        <v>458</v>
      </c>
      <c r="G4" s="128" t="s">
        <v>459</v>
      </c>
      <c r="H4" s="128" t="s">
        <v>460</v>
      </c>
      <c r="I4" s="128" t="s">
        <v>461</v>
      </c>
      <c r="J4" s="128" t="s">
        <v>462</v>
      </c>
      <c r="K4" s="125" t="s">
        <v>463</v>
      </c>
      <c r="L4" s="128" t="s">
        <v>464</v>
      </c>
      <c r="M4" s="129" t="s">
        <v>465</v>
      </c>
    </row>
    <row r="5" spans="1:14" outlineLevel="1" x14ac:dyDescent="0.35">
      <c r="A5" s="130" t="s">
        <v>1169</v>
      </c>
      <c r="B5" s="111" t="s">
        <v>1171</v>
      </c>
      <c r="C5" s="435">
        <v>18638</v>
      </c>
      <c r="D5" s="435">
        <v>15214</v>
      </c>
      <c r="E5" s="435">
        <v>3475</v>
      </c>
      <c r="F5" s="435">
        <v>-29982</v>
      </c>
      <c r="G5" s="435">
        <v>1999</v>
      </c>
      <c r="H5" s="435">
        <v>49533</v>
      </c>
      <c r="I5" s="435">
        <v>6546</v>
      </c>
      <c r="J5" s="435">
        <v>1065391</v>
      </c>
      <c r="K5" s="435">
        <v>1130814</v>
      </c>
      <c r="L5" s="435">
        <v>11767</v>
      </c>
      <c r="M5" s="465">
        <v>1142580.8877711005</v>
      </c>
      <c r="N5" s="463"/>
    </row>
    <row r="6" spans="1:14" s="126" customFormat="1" ht="13.5" outlineLevel="1" x14ac:dyDescent="0.3">
      <c r="A6" s="132" t="s">
        <v>197</v>
      </c>
      <c r="B6" s="102" t="s">
        <v>198</v>
      </c>
      <c r="C6" s="347">
        <v>0</v>
      </c>
      <c r="D6" s="347">
        <v>0</v>
      </c>
      <c r="E6" s="347">
        <v>0</v>
      </c>
      <c r="F6" s="347">
        <v>0</v>
      </c>
      <c r="G6" s="347">
        <v>0</v>
      </c>
      <c r="H6" s="347" t="s">
        <v>1176</v>
      </c>
      <c r="I6" s="347">
        <v>0</v>
      </c>
      <c r="J6" s="347">
        <v>138215</v>
      </c>
      <c r="K6" s="381">
        <v>138215</v>
      </c>
      <c r="L6" s="347">
        <v>592</v>
      </c>
      <c r="M6" s="464">
        <v>138807</v>
      </c>
    </row>
    <row r="7" spans="1:14" s="31" customFormat="1" outlineLevel="1" x14ac:dyDescent="0.35">
      <c r="A7" s="132" t="s">
        <v>232</v>
      </c>
      <c r="B7" s="102" t="s">
        <v>233</v>
      </c>
      <c r="C7" s="347">
        <v>0</v>
      </c>
      <c r="D7" s="347">
        <v>0</v>
      </c>
      <c r="E7" s="347">
        <v>0</v>
      </c>
      <c r="F7" s="347">
        <v>0</v>
      </c>
      <c r="G7" s="347">
        <v>0</v>
      </c>
      <c r="H7" s="347">
        <v>-2819</v>
      </c>
      <c r="I7" s="347">
        <v>0</v>
      </c>
      <c r="J7" s="347">
        <v>0</v>
      </c>
      <c r="K7" s="381">
        <v>-2819</v>
      </c>
      <c r="L7" s="347">
        <v>246</v>
      </c>
      <c r="M7" s="436">
        <v>-2573</v>
      </c>
    </row>
    <row r="8" spans="1:14" outlineLevel="1" x14ac:dyDescent="0.35">
      <c r="A8" s="132" t="s">
        <v>234</v>
      </c>
      <c r="B8" s="102" t="s">
        <v>235</v>
      </c>
      <c r="C8" s="347">
        <v>0</v>
      </c>
      <c r="D8" s="347">
        <v>0</v>
      </c>
      <c r="E8" s="347">
        <v>0</v>
      </c>
      <c r="F8" s="347">
        <v>0</v>
      </c>
      <c r="G8" s="347">
        <v>0</v>
      </c>
      <c r="H8" s="347">
        <v>-59</v>
      </c>
      <c r="I8" s="347">
        <v>0</v>
      </c>
      <c r="J8" s="347">
        <v>0</v>
      </c>
      <c r="K8" s="381">
        <v>-59</v>
      </c>
      <c r="L8" s="347">
        <v>0</v>
      </c>
      <c r="M8" s="436">
        <v>-59</v>
      </c>
    </row>
    <row r="9" spans="1:14" outlineLevel="1" x14ac:dyDescent="0.35">
      <c r="A9" s="132" t="s">
        <v>492</v>
      </c>
      <c r="B9" s="102" t="s">
        <v>471</v>
      </c>
      <c r="C9" s="347">
        <v>0</v>
      </c>
      <c r="D9" s="347">
        <v>0</v>
      </c>
      <c r="E9" s="347">
        <v>0</v>
      </c>
      <c r="F9" s="347">
        <v>0</v>
      </c>
      <c r="G9" s="347">
        <v>0</v>
      </c>
      <c r="H9" s="347">
        <v>0</v>
      </c>
      <c r="I9" s="347">
        <v>0</v>
      </c>
      <c r="J9" s="347">
        <v>177</v>
      </c>
      <c r="K9" s="381">
        <v>177</v>
      </c>
      <c r="L9" s="347">
        <v>0</v>
      </c>
      <c r="M9" s="436">
        <v>177</v>
      </c>
    </row>
    <row r="10" spans="1:14" outlineLevel="1" x14ac:dyDescent="0.35">
      <c r="A10" s="132" t="s">
        <v>472</v>
      </c>
      <c r="B10" s="451" t="s">
        <v>473</v>
      </c>
      <c r="C10" s="347">
        <v>0</v>
      </c>
      <c r="D10" s="347">
        <v>0</v>
      </c>
      <c r="E10" s="347">
        <v>0</v>
      </c>
      <c r="F10" s="347">
        <v>0</v>
      </c>
      <c r="G10" s="347">
        <v>2492</v>
      </c>
      <c r="H10" s="347">
        <v>0</v>
      </c>
      <c r="I10" s="347">
        <v>0</v>
      </c>
      <c r="J10" s="347">
        <v>-250</v>
      </c>
      <c r="K10" s="381">
        <v>2242</v>
      </c>
      <c r="L10" s="347">
        <v>0</v>
      </c>
      <c r="M10" s="436">
        <v>2242</v>
      </c>
    </row>
    <row r="11" spans="1:14" outlineLevel="1" x14ac:dyDescent="0.35">
      <c r="A11" s="132" t="s">
        <v>474</v>
      </c>
      <c r="B11" s="451" t="s">
        <v>475</v>
      </c>
      <c r="C11" s="347">
        <v>0</v>
      </c>
      <c r="D11" s="347">
        <v>0</v>
      </c>
      <c r="E11" s="347">
        <v>0</v>
      </c>
      <c r="F11" s="347">
        <v>0</v>
      </c>
      <c r="G11" s="347">
        <v>0</v>
      </c>
      <c r="H11" s="347">
        <v>0</v>
      </c>
      <c r="I11" s="347">
        <v>0</v>
      </c>
      <c r="J11" s="347">
        <v>0</v>
      </c>
      <c r="K11" s="381">
        <v>0</v>
      </c>
      <c r="L11" s="347">
        <v>0</v>
      </c>
      <c r="M11" s="436">
        <v>0</v>
      </c>
    </row>
    <row r="12" spans="1:14" outlineLevel="1" x14ac:dyDescent="0.35">
      <c r="A12" s="132" t="s">
        <v>236</v>
      </c>
      <c r="B12" s="451" t="s">
        <v>237</v>
      </c>
      <c r="C12" s="347">
        <v>0</v>
      </c>
      <c r="D12" s="347">
        <v>0</v>
      </c>
      <c r="E12" s="347">
        <v>0</v>
      </c>
      <c r="F12" s="347">
        <v>0</v>
      </c>
      <c r="G12" s="347" t="s">
        <v>1176</v>
      </c>
      <c r="H12" s="347">
        <v>0</v>
      </c>
      <c r="I12" s="347">
        <v>-1730</v>
      </c>
      <c r="J12" s="347">
        <v>0</v>
      </c>
      <c r="K12" s="381">
        <v>-1730</v>
      </c>
      <c r="L12" s="347">
        <v>0</v>
      </c>
      <c r="M12" s="436">
        <v>-1730</v>
      </c>
    </row>
    <row r="13" spans="1:14" outlineLevel="1" x14ac:dyDescent="0.35">
      <c r="A13" s="132" t="s">
        <v>238</v>
      </c>
      <c r="B13" s="102" t="s">
        <v>239</v>
      </c>
      <c r="C13" s="347">
        <v>0</v>
      </c>
      <c r="D13" s="347">
        <v>0</v>
      </c>
      <c r="E13" s="347">
        <v>0</v>
      </c>
      <c r="F13" s="347">
        <v>0</v>
      </c>
      <c r="G13" s="347">
        <v>0</v>
      </c>
      <c r="H13" s="347">
        <v>0</v>
      </c>
      <c r="I13" s="347">
        <v>-5735</v>
      </c>
      <c r="J13" s="347">
        <v>0</v>
      </c>
      <c r="K13" s="381">
        <v>-5735</v>
      </c>
      <c r="L13" s="347">
        <v>0</v>
      </c>
      <c r="M13" s="436">
        <v>-5735</v>
      </c>
    </row>
    <row r="14" spans="1:14" outlineLevel="1" x14ac:dyDescent="0.35">
      <c r="A14" s="130" t="s">
        <v>1170</v>
      </c>
      <c r="B14" s="111" t="s">
        <v>1172</v>
      </c>
      <c r="C14" s="435">
        <v>0</v>
      </c>
      <c r="D14" s="435">
        <v>0</v>
      </c>
      <c r="E14" s="435">
        <v>0</v>
      </c>
      <c r="F14" s="435">
        <v>0</v>
      </c>
      <c r="G14" s="435">
        <f>G10</f>
        <v>2492</v>
      </c>
      <c r="H14" s="435">
        <f>SUM(H6:H10)</f>
        <v>-2878</v>
      </c>
      <c r="I14" s="435">
        <f>SUM(I12:I13)</f>
        <v>-7465</v>
      </c>
      <c r="J14" s="435">
        <f>SUM(J6:J10)</f>
        <v>138142</v>
      </c>
      <c r="K14" s="435">
        <f>SUM(K6:K10)+K12+K13</f>
        <v>130291</v>
      </c>
      <c r="L14" s="435">
        <f>SUM(L6:L7)</f>
        <v>838</v>
      </c>
      <c r="M14" s="435">
        <f>SUM(M6:M10)+M12+M13</f>
        <v>131129</v>
      </c>
      <c r="N14" s="463"/>
    </row>
    <row r="15" spans="1:14" outlineLevel="1" x14ac:dyDescent="0.35">
      <c r="A15" s="132" t="s">
        <v>1122</v>
      </c>
      <c r="B15" s="102" t="s">
        <v>478</v>
      </c>
      <c r="C15" s="347">
        <v>0</v>
      </c>
      <c r="D15" s="347" t="s">
        <v>1176</v>
      </c>
      <c r="E15" s="347">
        <v>0</v>
      </c>
      <c r="F15" s="347">
        <v>-6936</v>
      </c>
      <c r="G15" s="347">
        <v>0</v>
      </c>
      <c r="H15" s="347">
        <v>0</v>
      </c>
      <c r="I15" s="347">
        <v>0</v>
      </c>
      <c r="J15" s="347">
        <v>0</v>
      </c>
      <c r="K15" s="347">
        <v>-6936</v>
      </c>
      <c r="L15" s="347">
        <v>0</v>
      </c>
      <c r="M15" s="452">
        <v>-6936</v>
      </c>
    </row>
    <row r="16" spans="1:14" s="31" customFormat="1" outlineLevel="1" x14ac:dyDescent="0.35">
      <c r="A16" s="132" t="s">
        <v>1123</v>
      </c>
      <c r="B16" s="102" t="s">
        <v>479</v>
      </c>
      <c r="C16" s="347">
        <v>0</v>
      </c>
      <c r="D16" s="347" t="s">
        <v>1176</v>
      </c>
      <c r="E16" s="347">
        <v>0</v>
      </c>
      <c r="F16" s="347">
        <v>26</v>
      </c>
      <c r="G16" s="347">
        <v>0</v>
      </c>
      <c r="H16" s="347">
        <v>0</v>
      </c>
      <c r="I16" s="347">
        <v>0</v>
      </c>
      <c r="J16" s="347">
        <v>-26</v>
      </c>
      <c r="K16" s="347">
        <v>0</v>
      </c>
      <c r="L16" s="347">
        <v>0</v>
      </c>
      <c r="M16" s="452">
        <v>0</v>
      </c>
    </row>
    <row r="17" spans="1:14" outlineLevel="1" x14ac:dyDescent="0.35">
      <c r="A17" s="132" t="s">
        <v>480</v>
      </c>
      <c r="B17" s="102" t="s">
        <v>481</v>
      </c>
      <c r="C17" s="347">
        <v>0</v>
      </c>
      <c r="D17" s="347">
        <v>0</v>
      </c>
      <c r="E17" s="347">
        <v>0</v>
      </c>
      <c r="F17" s="347">
        <v>0</v>
      </c>
      <c r="G17" s="347">
        <v>0</v>
      </c>
      <c r="H17" s="347">
        <v>0</v>
      </c>
      <c r="I17" s="347">
        <v>0</v>
      </c>
      <c r="J17" s="347">
        <v>1098</v>
      </c>
      <c r="K17" s="347">
        <v>1098</v>
      </c>
      <c r="L17" s="347">
        <v>0</v>
      </c>
      <c r="M17" s="452">
        <v>1098</v>
      </c>
    </row>
    <row r="18" spans="1:14" outlineLevel="1" x14ac:dyDescent="0.35">
      <c r="A18" s="132" t="s">
        <v>493</v>
      </c>
      <c r="B18" s="102" t="s">
        <v>494</v>
      </c>
      <c r="C18" s="347">
        <v>0</v>
      </c>
      <c r="D18" s="347">
        <v>0</v>
      </c>
      <c r="E18" s="347">
        <v>0</v>
      </c>
      <c r="F18" s="347">
        <v>0</v>
      </c>
      <c r="G18" s="347">
        <v>0</v>
      </c>
      <c r="H18" s="347">
        <v>0</v>
      </c>
      <c r="I18" s="347">
        <v>0</v>
      </c>
      <c r="J18" s="347">
        <v>-78837</v>
      </c>
      <c r="K18" s="347">
        <v>-78837</v>
      </c>
      <c r="L18" s="347">
        <v>0</v>
      </c>
      <c r="M18" s="452">
        <v>-78837</v>
      </c>
    </row>
    <row r="19" spans="1:14" outlineLevel="1" x14ac:dyDescent="0.35">
      <c r="A19" s="132" t="s">
        <v>484</v>
      </c>
      <c r="B19" s="102" t="s">
        <v>485</v>
      </c>
      <c r="C19" s="347">
        <v>0</v>
      </c>
      <c r="D19" s="347">
        <v>0</v>
      </c>
      <c r="E19" s="347">
        <v>0</v>
      </c>
      <c r="F19" s="347">
        <v>0</v>
      </c>
      <c r="G19" s="347">
        <v>0</v>
      </c>
      <c r="H19" s="347">
        <v>0</v>
      </c>
      <c r="I19" s="347">
        <v>0</v>
      </c>
      <c r="J19" s="347">
        <v>0</v>
      </c>
      <c r="K19" s="347">
        <v>0</v>
      </c>
      <c r="L19" s="347">
        <v>-9</v>
      </c>
      <c r="M19" s="452">
        <v>-9</v>
      </c>
    </row>
    <row r="20" spans="1:14" outlineLevel="1" x14ac:dyDescent="0.35">
      <c r="A20" s="132" t="s">
        <v>1126</v>
      </c>
      <c r="B20" s="102" t="s">
        <v>1127</v>
      </c>
      <c r="C20" s="347">
        <v>0</v>
      </c>
      <c r="D20" s="347">
        <v>0</v>
      </c>
      <c r="E20" s="347">
        <v>0</v>
      </c>
      <c r="F20" s="347">
        <v>0</v>
      </c>
      <c r="G20" s="347">
        <v>0</v>
      </c>
      <c r="H20" s="347">
        <v>0</v>
      </c>
      <c r="I20" s="347">
        <v>0</v>
      </c>
      <c r="J20" s="347">
        <v>-6821</v>
      </c>
      <c r="K20" s="347">
        <v>-6821</v>
      </c>
      <c r="L20" s="347">
        <v>-8990</v>
      </c>
      <c r="M20" s="452">
        <v>-15811</v>
      </c>
    </row>
    <row r="21" spans="1:14" outlineLevel="1" x14ac:dyDescent="0.35">
      <c r="A21" s="132" t="s">
        <v>1128</v>
      </c>
      <c r="B21" s="102" t="s">
        <v>1129</v>
      </c>
      <c r="C21" s="347">
        <v>0</v>
      </c>
      <c r="D21" s="347">
        <v>0</v>
      </c>
      <c r="E21" s="347">
        <v>0</v>
      </c>
      <c r="F21" s="347">
        <v>0</v>
      </c>
      <c r="G21" s="347">
        <v>0</v>
      </c>
      <c r="H21" s="347">
        <v>0</v>
      </c>
      <c r="I21" s="347">
        <v>0</v>
      </c>
      <c r="J21" s="347">
        <v>0</v>
      </c>
      <c r="K21" s="347">
        <v>0</v>
      </c>
      <c r="L21" s="347">
        <v>0</v>
      </c>
      <c r="M21" s="452">
        <v>0</v>
      </c>
    </row>
    <row r="22" spans="1:14" outlineLevel="1" x14ac:dyDescent="0.35">
      <c r="A22" s="132" t="s">
        <v>495</v>
      </c>
      <c r="B22" s="102" t="s">
        <v>496</v>
      </c>
      <c r="C22" s="347">
        <v>0</v>
      </c>
      <c r="D22" s="347">
        <v>0</v>
      </c>
      <c r="E22" s="347">
        <v>0</v>
      </c>
      <c r="F22" s="347">
        <v>0</v>
      </c>
      <c r="G22" s="347">
        <v>0</v>
      </c>
      <c r="H22" s="347">
        <v>0</v>
      </c>
      <c r="I22" s="347">
        <v>0</v>
      </c>
      <c r="J22" s="347">
        <v>0</v>
      </c>
      <c r="K22" s="347">
        <v>0</v>
      </c>
      <c r="L22" s="347" t="s">
        <v>1176</v>
      </c>
      <c r="M22" s="452" t="s">
        <v>1176</v>
      </c>
    </row>
    <row r="23" spans="1:14" outlineLevel="1" x14ac:dyDescent="0.35">
      <c r="A23" s="130" t="s">
        <v>1135</v>
      </c>
      <c r="B23" s="111" t="s">
        <v>1177</v>
      </c>
      <c r="C23" s="435">
        <v>0</v>
      </c>
      <c r="D23" s="435">
        <f>SUM(D15:D22)</f>
        <v>0</v>
      </c>
      <c r="E23" s="435">
        <v>0</v>
      </c>
      <c r="F23" s="435">
        <f>SUM(F15:F22)</f>
        <v>-6910</v>
      </c>
      <c r="G23" s="435">
        <v>0</v>
      </c>
      <c r="H23" s="435">
        <v>0</v>
      </c>
      <c r="I23" s="435">
        <v>0</v>
      </c>
      <c r="J23" s="435">
        <f>SUM(J15:J22)</f>
        <v>-84586</v>
      </c>
      <c r="K23" s="435">
        <f t="shared" ref="K23:M23" si="0">SUM(K15:K22)</f>
        <v>-91496</v>
      </c>
      <c r="L23" s="435">
        <f t="shared" si="0"/>
        <v>-8999</v>
      </c>
      <c r="M23" s="435">
        <f t="shared" si="0"/>
        <v>-100495</v>
      </c>
      <c r="N23" s="463"/>
    </row>
    <row r="24" spans="1:14" ht="15" outlineLevel="1" thickBot="1" x14ac:dyDescent="0.4">
      <c r="A24" s="135" t="s">
        <v>1173</v>
      </c>
      <c r="B24" s="223" t="s">
        <v>1174</v>
      </c>
      <c r="C24" s="443">
        <f>SUM(C14:C22)+C5</f>
        <v>18638</v>
      </c>
      <c r="D24" s="443">
        <f t="shared" ref="D24:M24" si="1">SUM(D14:D22)+D5</f>
        <v>15214</v>
      </c>
      <c r="E24" s="443">
        <f t="shared" si="1"/>
        <v>3475</v>
      </c>
      <c r="F24" s="443">
        <f t="shared" si="1"/>
        <v>-36892</v>
      </c>
      <c r="G24" s="443">
        <f t="shared" si="1"/>
        <v>4491</v>
      </c>
      <c r="H24" s="443">
        <f t="shared" si="1"/>
        <v>46655</v>
      </c>
      <c r="I24" s="443">
        <f t="shared" si="1"/>
        <v>-919</v>
      </c>
      <c r="J24" s="443">
        <f t="shared" si="1"/>
        <v>1118947</v>
      </c>
      <c r="K24" s="443">
        <f t="shared" si="1"/>
        <v>1169609</v>
      </c>
      <c r="L24" s="443">
        <f t="shared" si="1"/>
        <v>3606</v>
      </c>
      <c r="M24" s="443">
        <f t="shared" si="1"/>
        <v>1173214.8877711005</v>
      </c>
      <c r="N24" s="463"/>
    </row>
    <row r="25" spans="1:14" s="31" customFormat="1" ht="15" thickTop="1" x14ac:dyDescent="0.35">
      <c r="A25" s="401"/>
      <c r="B25" s="401"/>
      <c r="C25" s="420"/>
      <c r="D25" s="420"/>
      <c r="E25" s="420"/>
      <c r="F25" s="420"/>
      <c r="G25" s="420"/>
      <c r="H25" s="420"/>
      <c r="I25" s="420"/>
      <c r="J25" s="420"/>
      <c r="K25" s="420"/>
      <c r="L25" s="420"/>
      <c r="M25" s="420"/>
    </row>
    <row r="26" spans="1:14" s="31" customFormat="1" ht="15" thickBot="1" x14ac:dyDescent="0.4">
      <c r="A26"/>
      <c r="B26"/>
      <c r="C26"/>
      <c r="D26"/>
      <c r="E26"/>
      <c r="F26"/>
      <c r="G26"/>
      <c r="H26"/>
      <c r="I26"/>
      <c r="J26"/>
      <c r="K26"/>
      <c r="L26"/>
      <c r="M26"/>
    </row>
    <row r="27" spans="1:14" s="31" customFormat="1" ht="15.5" thickTop="1" thickBot="1" x14ac:dyDescent="0.4">
      <c r="A27" s="437">
        <v>2024</v>
      </c>
      <c r="B27" s="438"/>
      <c r="C27" s="438"/>
      <c r="D27" s="438"/>
      <c r="E27" s="438"/>
      <c r="F27" s="438"/>
      <c r="G27" s="438"/>
      <c r="H27" s="438"/>
      <c r="I27" s="438"/>
      <c r="J27" s="438"/>
      <c r="K27" s="438"/>
      <c r="L27" s="438"/>
      <c r="M27" s="439"/>
    </row>
    <row r="28" spans="1:14" ht="15.5" thickTop="1" thickBot="1" x14ac:dyDescent="0.4">
      <c r="A28" s="440" t="s">
        <v>1103</v>
      </c>
      <c r="B28" s="441"/>
      <c r="C28" s="441"/>
      <c r="D28" s="441"/>
      <c r="E28" s="441"/>
      <c r="F28" s="441"/>
      <c r="G28" s="441"/>
      <c r="H28" s="441"/>
      <c r="I28" s="441"/>
      <c r="J28" s="441"/>
      <c r="K28" s="441"/>
      <c r="L28" s="441"/>
      <c r="M28" s="442"/>
    </row>
    <row r="29" spans="1:14" ht="144" outlineLevel="1" thickTop="1" x14ac:dyDescent="0.35">
      <c r="A29" s="127" t="s">
        <v>62</v>
      </c>
      <c r="B29" s="127" t="s">
        <v>62</v>
      </c>
      <c r="C29" s="128" t="s">
        <v>455</v>
      </c>
      <c r="D29" s="128" t="s">
        <v>456</v>
      </c>
      <c r="E29" s="128" t="s">
        <v>457</v>
      </c>
      <c r="F29" s="128" t="s">
        <v>458</v>
      </c>
      <c r="G29" s="128" t="s">
        <v>459</v>
      </c>
      <c r="H29" s="128" t="s">
        <v>460</v>
      </c>
      <c r="I29" s="128" t="s">
        <v>461</v>
      </c>
      <c r="J29" s="128" t="s">
        <v>462</v>
      </c>
      <c r="K29" s="125" t="s">
        <v>463</v>
      </c>
      <c r="L29" s="128" t="s">
        <v>464</v>
      </c>
      <c r="M29" s="129" t="s">
        <v>465</v>
      </c>
    </row>
    <row r="30" spans="1:14" outlineLevel="1" x14ac:dyDescent="0.35">
      <c r="A30" s="130" t="s">
        <v>1104</v>
      </c>
      <c r="B30" s="111" t="s">
        <v>1106</v>
      </c>
      <c r="C30" s="124">
        <v>18638</v>
      </c>
      <c r="D30" s="124">
        <v>15214</v>
      </c>
      <c r="E30" s="124">
        <v>3475</v>
      </c>
      <c r="F30" s="124">
        <v>-29982</v>
      </c>
      <c r="G30" s="124">
        <v>1999</v>
      </c>
      <c r="H30" s="124">
        <v>49533</v>
      </c>
      <c r="I30" s="124">
        <v>6546</v>
      </c>
      <c r="J30" s="124">
        <v>1065391</v>
      </c>
      <c r="K30" s="124">
        <v>1130814</v>
      </c>
      <c r="L30" s="124">
        <v>11766.887771100601</v>
      </c>
      <c r="M30" s="131">
        <v>1142580.8877711005</v>
      </c>
    </row>
    <row r="31" spans="1:14" outlineLevel="1" x14ac:dyDescent="0.35">
      <c r="A31" s="132" t="s">
        <v>197</v>
      </c>
      <c r="B31" s="102" t="s">
        <v>198</v>
      </c>
      <c r="C31" s="8">
        <v>0</v>
      </c>
      <c r="D31" s="8">
        <v>0</v>
      </c>
      <c r="E31" s="8">
        <v>0</v>
      </c>
      <c r="F31" s="8">
        <v>0</v>
      </c>
      <c r="G31" s="8">
        <v>0</v>
      </c>
      <c r="H31" s="8">
        <v>0</v>
      </c>
      <c r="I31" s="8">
        <v>0</v>
      </c>
      <c r="J31" s="8">
        <v>68217</v>
      </c>
      <c r="K31" s="29">
        <v>68217</v>
      </c>
      <c r="L31" s="8">
        <v>320</v>
      </c>
      <c r="M31" s="133">
        <v>68537</v>
      </c>
    </row>
    <row r="32" spans="1:14" outlineLevel="1" x14ac:dyDescent="0.35">
      <c r="A32" s="132" t="s">
        <v>232</v>
      </c>
      <c r="B32" s="102" t="s">
        <v>233</v>
      </c>
      <c r="C32" s="8">
        <v>0</v>
      </c>
      <c r="D32" s="8">
        <v>0</v>
      </c>
      <c r="E32" s="8">
        <v>0</v>
      </c>
      <c r="F32" s="8">
        <v>0</v>
      </c>
      <c r="G32" s="8">
        <v>0</v>
      </c>
      <c r="H32" s="8">
        <v>335</v>
      </c>
      <c r="I32" s="8">
        <v>0</v>
      </c>
      <c r="J32" s="8">
        <v>0</v>
      </c>
      <c r="K32" s="29">
        <v>335</v>
      </c>
      <c r="L32" s="8">
        <v>519</v>
      </c>
      <c r="M32" s="133">
        <v>854</v>
      </c>
    </row>
    <row r="33" spans="1:13" s="126" customFormat="1" ht="13.5" outlineLevel="1" x14ac:dyDescent="0.3">
      <c r="A33" s="132" t="s">
        <v>234</v>
      </c>
      <c r="B33" s="102" t="s">
        <v>235</v>
      </c>
      <c r="C33" s="8">
        <v>0</v>
      </c>
      <c r="D33" s="8">
        <v>0</v>
      </c>
      <c r="E33" s="8">
        <v>0</v>
      </c>
      <c r="F33" s="8">
        <v>0</v>
      </c>
      <c r="G33" s="8">
        <v>0</v>
      </c>
      <c r="H33" s="8">
        <v>-195</v>
      </c>
      <c r="I33" s="8">
        <v>0</v>
      </c>
      <c r="J33" s="8">
        <v>0</v>
      </c>
      <c r="K33" s="29">
        <v>-195</v>
      </c>
      <c r="L33" s="8">
        <v>0</v>
      </c>
      <c r="M33" s="133">
        <v>-195</v>
      </c>
    </row>
    <row r="34" spans="1:13" s="31" customFormat="1" outlineLevel="1" x14ac:dyDescent="0.35">
      <c r="A34" s="132" t="s">
        <v>492</v>
      </c>
      <c r="B34" s="102" t="s">
        <v>471</v>
      </c>
      <c r="C34" s="8">
        <v>0</v>
      </c>
      <c r="D34" s="8">
        <v>0</v>
      </c>
      <c r="E34" s="8">
        <v>0</v>
      </c>
      <c r="F34" s="8">
        <v>0</v>
      </c>
      <c r="G34" s="8">
        <v>0</v>
      </c>
      <c r="H34" s="8">
        <v>0</v>
      </c>
      <c r="I34" s="8">
        <v>0</v>
      </c>
      <c r="J34" s="8">
        <v>0</v>
      </c>
      <c r="K34" s="29">
        <v>0</v>
      </c>
      <c r="L34" s="8">
        <v>0</v>
      </c>
      <c r="M34" s="133">
        <v>0</v>
      </c>
    </row>
    <row r="35" spans="1:13" outlineLevel="1" x14ac:dyDescent="0.35">
      <c r="A35" s="132" t="s">
        <v>472</v>
      </c>
      <c r="B35" s="102" t="s">
        <v>473</v>
      </c>
      <c r="C35" s="8">
        <v>0</v>
      </c>
      <c r="D35" s="8">
        <v>0</v>
      </c>
      <c r="E35" s="8">
        <v>0</v>
      </c>
      <c r="F35" s="8">
        <v>0</v>
      </c>
      <c r="G35" s="8">
        <v>-820</v>
      </c>
      <c r="H35" s="8">
        <v>0</v>
      </c>
      <c r="I35" s="8">
        <v>0</v>
      </c>
      <c r="J35" s="8">
        <v>0</v>
      </c>
      <c r="K35" s="29">
        <v>-820</v>
      </c>
      <c r="L35" s="8">
        <v>0</v>
      </c>
      <c r="M35" s="133">
        <v>-820</v>
      </c>
    </row>
    <row r="36" spans="1:13" outlineLevel="1" x14ac:dyDescent="0.35">
      <c r="A36" s="132" t="s">
        <v>474</v>
      </c>
      <c r="B36" s="102" t="s">
        <v>475</v>
      </c>
      <c r="C36" s="8">
        <v>0</v>
      </c>
      <c r="D36" s="8">
        <v>0</v>
      </c>
      <c r="E36" s="8">
        <v>0</v>
      </c>
      <c r="F36" s="8">
        <v>0</v>
      </c>
      <c r="G36" s="8">
        <v>0</v>
      </c>
      <c r="H36" s="8">
        <v>0</v>
      </c>
      <c r="I36" s="8">
        <v>0</v>
      </c>
      <c r="J36" s="8">
        <v>0</v>
      </c>
      <c r="K36" s="29">
        <v>0</v>
      </c>
      <c r="L36" s="8">
        <v>0</v>
      </c>
      <c r="M36" s="133">
        <v>0</v>
      </c>
    </row>
    <row r="37" spans="1:13" outlineLevel="1" x14ac:dyDescent="0.35">
      <c r="A37" s="132" t="s">
        <v>236</v>
      </c>
      <c r="B37" s="102" t="s">
        <v>237</v>
      </c>
      <c r="C37" s="8">
        <v>0</v>
      </c>
      <c r="D37" s="8">
        <v>0</v>
      </c>
      <c r="E37" s="8">
        <v>0</v>
      </c>
      <c r="F37" s="8">
        <v>0</v>
      </c>
      <c r="G37" s="8">
        <v>0</v>
      </c>
      <c r="H37" s="8">
        <v>0</v>
      </c>
      <c r="I37" s="8">
        <v>-6440</v>
      </c>
      <c r="J37" s="8">
        <v>0</v>
      </c>
      <c r="K37" s="29">
        <v>-6440</v>
      </c>
      <c r="L37" s="8">
        <v>0</v>
      </c>
      <c r="M37" s="133">
        <v>-6440</v>
      </c>
    </row>
    <row r="38" spans="1:13" outlineLevel="1" x14ac:dyDescent="0.35">
      <c r="A38" s="132" t="s">
        <v>238</v>
      </c>
      <c r="B38" s="102" t="s">
        <v>239</v>
      </c>
      <c r="C38" s="8">
        <v>0</v>
      </c>
      <c r="D38" s="8">
        <v>0</v>
      </c>
      <c r="E38" s="8">
        <v>0</v>
      </c>
      <c r="F38" s="8">
        <v>0</v>
      </c>
      <c r="G38" s="8">
        <v>0</v>
      </c>
      <c r="H38" s="8">
        <v>0</v>
      </c>
      <c r="I38" s="8">
        <v>-362</v>
      </c>
      <c r="J38" s="8">
        <v>0</v>
      </c>
      <c r="K38" s="29">
        <v>-362</v>
      </c>
      <c r="L38" s="8">
        <v>0</v>
      </c>
      <c r="M38" s="133">
        <v>-362</v>
      </c>
    </row>
    <row r="39" spans="1:13" outlineLevel="1" x14ac:dyDescent="0.35">
      <c r="A39" s="130" t="s">
        <v>1105</v>
      </c>
      <c r="B39" s="111" t="s">
        <v>1121</v>
      </c>
      <c r="C39" s="140">
        <v>0</v>
      </c>
      <c r="D39" s="140">
        <v>0</v>
      </c>
      <c r="E39" s="140">
        <v>0</v>
      </c>
      <c r="F39" s="140">
        <v>0</v>
      </c>
      <c r="G39" s="140">
        <v>-820</v>
      </c>
      <c r="H39" s="140">
        <v>140</v>
      </c>
      <c r="I39" s="140">
        <v>-6802</v>
      </c>
      <c r="J39" s="140">
        <v>68217</v>
      </c>
      <c r="K39" s="116">
        <v>60735</v>
      </c>
      <c r="L39" s="140">
        <v>839</v>
      </c>
      <c r="M39" s="141">
        <v>61574</v>
      </c>
    </row>
    <row r="40" spans="1:13" outlineLevel="1" x14ac:dyDescent="0.35">
      <c r="A40" s="132" t="s">
        <v>1122</v>
      </c>
      <c r="B40" s="102" t="s">
        <v>478</v>
      </c>
      <c r="C40" s="8">
        <v>0</v>
      </c>
      <c r="D40" s="8">
        <v>0</v>
      </c>
      <c r="E40" s="8">
        <v>0</v>
      </c>
      <c r="F40" s="8">
        <v>-6921</v>
      </c>
      <c r="G40" s="8">
        <v>0</v>
      </c>
      <c r="H40" s="8">
        <v>0</v>
      </c>
      <c r="I40" s="8">
        <v>0</v>
      </c>
      <c r="J40" s="8">
        <v>0</v>
      </c>
      <c r="K40" s="29">
        <v>-6921</v>
      </c>
      <c r="L40" s="8">
        <v>0</v>
      </c>
      <c r="M40" s="133">
        <v>-6921</v>
      </c>
    </row>
    <row r="41" spans="1:13" outlineLevel="1" x14ac:dyDescent="0.35">
      <c r="A41" s="132" t="s">
        <v>1123</v>
      </c>
      <c r="B41" s="102" t="s">
        <v>479</v>
      </c>
      <c r="C41" s="8">
        <v>0</v>
      </c>
      <c r="D41" s="8">
        <v>0</v>
      </c>
      <c r="E41" s="8">
        <v>0</v>
      </c>
      <c r="F41" s="8">
        <v>-56</v>
      </c>
      <c r="G41" s="8">
        <v>0</v>
      </c>
      <c r="H41" s="8">
        <v>0</v>
      </c>
      <c r="I41" s="8">
        <v>0</v>
      </c>
      <c r="J41" s="8">
        <v>56</v>
      </c>
      <c r="K41" s="29">
        <v>0</v>
      </c>
      <c r="L41" s="8">
        <v>0</v>
      </c>
      <c r="M41" s="133">
        <v>0</v>
      </c>
    </row>
    <row r="42" spans="1:13" outlineLevel="1" x14ac:dyDescent="0.35">
      <c r="A42" s="132" t="s">
        <v>480</v>
      </c>
      <c r="B42" s="102" t="s">
        <v>481</v>
      </c>
      <c r="C42" s="8">
        <v>0</v>
      </c>
      <c r="D42" s="8">
        <v>0</v>
      </c>
      <c r="E42" s="8">
        <v>0</v>
      </c>
      <c r="F42" s="8">
        <v>0</v>
      </c>
      <c r="G42" s="8">
        <v>0</v>
      </c>
      <c r="H42" s="8">
        <v>0</v>
      </c>
      <c r="I42" s="8">
        <v>0</v>
      </c>
      <c r="J42" s="8">
        <v>496</v>
      </c>
      <c r="K42" s="29">
        <v>496</v>
      </c>
      <c r="L42" s="8">
        <v>0</v>
      </c>
      <c r="M42" s="133">
        <v>496</v>
      </c>
    </row>
    <row r="43" spans="1:13" s="31" customFormat="1" outlineLevel="1" x14ac:dyDescent="0.35">
      <c r="A43" s="132" t="s">
        <v>1124</v>
      </c>
      <c r="B43" s="102" t="s">
        <v>1125</v>
      </c>
      <c r="C43" s="8">
        <v>0</v>
      </c>
      <c r="D43" s="8">
        <v>0</v>
      </c>
      <c r="E43" s="8">
        <v>0</v>
      </c>
      <c r="F43" s="8">
        <v>0</v>
      </c>
      <c r="G43" s="8">
        <v>0</v>
      </c>
      <c r="H43" s="8">
        <v>0</v>
      </c>
      <c r="I43" s="8">
        <v>0</v>
      </c>
      <c r="J43" s="8">
        <v>0</v>
      </c>
      <c r="K43" s="29">
        <v>0</v>
      </c>
      <c r="L43" s="8">
        <v>0</v>
      </c>
      <c r="M43" s="133">
        <v>0</v>
      </c>
    </row>
    <row r="44" spans="1:13" outlineLevel="1" x14ac:dyDescent="0.35">
      <c r="A44" s="132" t="s">
        <v>484</v>
      </c>
      <c r="B44" s="102" t="s">
        <v>485</v>
      </c>
      <c r="C44" s="8">
        <v>0</v>
      </c>
      <c r="D44" s="8">
        <v>0</v>
      </c>
      <c r="E44" s="8">
        <v>0</v>
      </c>
      <c r="F44" s="8">
        <v>0</v>
      </c>
      <c r="G44" s="8">
        <v>0</v>
      </c>
      <c r="H44" s="8">
        <v>0</v>
      </c>
      <c r="I44" s="8">
        <v>0</v>
      </c>
      <c r="J44" s="8">
        <v>0</v>
      </c>
      <c r="K44" s="29">
        <v>0</v>
      </c>
      <c r="L44" s="8">
        <v>-3</v>
      </c>
      <c r="M44" s="133">
        <v>-3</v>
      </c>
    </row>
    <row r="45" spans="1:13" outlineLevel="1" x14ac:dyDescent="0.35">
      <c r="A45" s="132" t="s">
        <v>1126</v>
      </c>
      <c r="B45" s="102" t="s">
        <v>1127</v>
      </c>
      <c r="C45" s="8">
        <v>0</v>
      </c>
      <c r="D45" s="8">
        <v>0</v>
      </c>
      <c r="E45" s="8">
        <v>0</v>
      </c>
      <c r="F45" s="8">
        <v>0</v>
      </c>
      <c r="G45" s="8">
        <v>0</v>
      </c>
      <c r="H45" s="8">
        <v>0</v>
      </c>
      <c r="I45" s="8">
        <v>0</v>
      </c>
      <c r="J45" s="8">
        <v>0</v>
      </c>
      <c r="K45" s="29">
        <v>0</v>
      </c>
      <c r="L45" s="8">
        <v>0</v>
      </c>
      <c r="M45" s="133">
        <v>0</v>
      </c>
    </row>
    <row r="46" spans="1:13" outlineLevel="1" x14ac:dyDescent="0.35">
      <c r="A46" s="132" t="s">
        <v>1128</v>
      </c>
      <c r="B46" s="102" t="s">
        <v>1129</v>
      </c>
      <c r="C46" s="8">
        <v>0</v>
      </c>
      <c r="D46" s="8">
        <v>0</v>
      </c>
      <c r="E46" s="8">
        <v>0</v>
      </c>
      <c r="F46" s="8">
        <v>0</v>
      </c>
      <c r="G46" s="8">
        <v>0</v>
      </c>
      <c r="H46" s="8">
        <v>0</v>
      </c>
      <c r="I46" s="8">
        <v>0</v>
      </c>
      <c r="J46" s="8">
        <v>0</v>
      </c>
      <c r="K46" s="29">
        <v>0</v>
      </c>
      <c r="L46" s="8">
        <v>0</v>
      </c>
      <c r="M46" s="133">
        <v>0</v>
      </c>
    </row>
    <row r="47" spans="1:13" outlineLevel="1" x14ac:dyDescent="0.35">
      <c r="A47" s="132" t="s">
        <v>495</v>
      </c>
      <c r="B47" s="102" t="s">
        <v>496</v>
      </c>
      <c r="C47" s="8">
        <v>0</v>
      </c>
      <c r="D47" s="8">
        <v>0</v>
      </c>
      <c r="E47" s="8">
        <v>0</v>
      </c>
      <c r="F47" s="8">
        <v>0</v>
      </c>
      <c r="G47" s="8">
        <v>0</v>
      </c>
      <c r="H47" s="8">
        <v>0</v>
      </c>
      <c r="I47" s="8">
        <v>0</v>
      </c>
      <c r="J47" s="8">
        <v>0</v>
      </c>
      <c r="K47" s="29">
        <v>0</v>
      </c>
      <c r="L47" s="8">
        <v>0</v>
      </c>
      <c r="M47" s="133">
        <v>0</v>
      </c>
    </row>
    <row r="48" spans="1:13" outlineLevel="1" x14ac:dyDescent="0.35">
      <c r="A48" s="130" t="s">
        <v>1130</v>
      </c>
      <c r="B48" s="111" t="s">
        <v>1107</v>
      </c>
      <c r="C48" s="124">
        <v>0</v>
      </c>
      <c r="D48" s="124">
        <v>0</v>
      </c>
      <c r="E48" s="124">
        <v>0</v>
      </c>
      <c r="F48" s="124">
        <v>-6977</v>
      </c>
      <c r="G48" s="124">
        <v>0</v>
      </c>
      <c r="H48" s="124">
        <v>0</v>
      </c>
      <c r="I48" s="124">
        <v>0</v>
      </c>
      <c r="J48" s="124">
        <v>552</v>
      </c>
      <c r="K48" s="124">
        <v>-6425</v>
      </c>
      <c r="L48" s="124">
        <v>-3</v>
      </c>
      <c r="M48" s="131">
        <v>-6428</v>
      </c>
    </row>
    <row r="49" spans="1:13" ht="15" outlineLevel="1" thickBot="1" x14ac:dyDescent="0.4">
      <c r="A49" s="459" t="s">
        <v>1108</v>
      </c>
      <c r="B49" s="460" t="s">
        <v>1109</v>
      </c>
      <c r="C49" s="461">
        <v>18638</v>
      </c>
      <c r="D49" s="461">
        <v>15214</v>
      </c>
      <c r="E49" s="461">
        <v>3475</v>
      </c>
      <c r="F49" s="461">
        <v>-36959</v>
      </c>
      <c r="G49" s="461">
        <v>1179</v>
      </c>
      <c r="H49" s="461">
        <v>49673</v>
      </c>
      <c r="I49" s="461">
        <v>-256</v>
      </c>
      <c r="J49" s="461">
        <v>1134160</v>
      </c>
      <c r="K49" s="461">
        <v>1185124</v>
      </c>
      <c r="L49" s="461">
        <v>12602.887771100601</v>
      </c>
      <c r="M49" s="462">
        <v>1197726.8877711005</v>
      </c>
    </row>
    <row r="50" spans="1:13" s="31" customFormat="1" x14ac:dyDescent="0.35">
      <c r="A50"/>
      <c r="B50"/>
      <c r="C50"/>
      <c r="D50"/>
      <c r="E50"/>
      <c r="F50"/>
      <c r="G50"/>
      <c r="H50"/>
      <c r="I50"/>
      <c r="J50"/>
      <c r="K50"/>
      <c r="L50"/>
      <c r="M50"/>
    </row>
    <row r="51" spans="1:13" s="31" customFormat="1" ht="15" thickBot="1" x14ac:dyDescent="0.4">
      <c r="A51"/>
      <c r="B51"/>
      <c r="C51"/>
      <c r="D51"/>
      <c r="E51"/>
      <c r="F51"/>
      <c r="G51"/>
      <c r="H51"/>
      <c r="I51"/>
      <c r="J51"/>
      <c r="K51"/>
      <c r="L51"/>
      <c r="M51"/>
    </row>
    <row r="52" spans="1:13" s="31" customFormat="1" ht="15.5" thickTop="1" thickBot="1" x14ac:dyDescent="0.4">
      <c r="A52" s="486">
        <v>2023</v>
      </c>
      <c r="B52" s="487"/>
      <c r="C52" s="487"/>
      <c r="D52" s="487"/>
      <c r="E52" s="487"/>
      <c r="F52" s="487"/>
      <c r="G52" s="487"/>
      <c r="H52" s="487"/>
      <c r="I52" s="487"/>
      <c r="J52" s="487"/>
      <c r="K52" s="487"/>
      <c r="L52" s="487"/>
      <c r="M52" s="488"/>
    </row>
    <row r="53" spans="1:13" s="31" customFormat="1" ht="15.5" thickTop="1" thickBot="1" x14ac:dyDescent="0.4">
      <c r="A53" s="489" t="s">
        <v>1178</v>
      </c>
      <c r="B53" s="490"/>
      <c r="C53" s="490"/>
      <c r="D53" s="490"/>
      <c r="E53" s="490"/>
      <c r="F53" s="490"/>
      <c r="G53" s="490"/>
      <c r="H53" s="490"/>
      <c r="I53" s="490"/>
      <c r="J53" s="490"/>
      <c r="K53" s="490"/>
      <c r="L53" s="490"/>
      <c r="M53" s="491"/>
    </row>
    <row r="54" spans="1:13" s="31" customFormat="1" ht="140" outlineLevel="1" thickTop="1" x14ac:dyDescent="0.35">
      <c r="A54" s="458" t="s">
        <v>62</v>
      </c>
      <c r="B54" s="458" t="s">
        <v>62</v>
      </c>
      <c r="C54" s="128" t="s">
        <v>455</v>
      </c>
      <c r="D54" s="128" t="s">
        <v>456</v>
      </c>
      <c r="E54" s="128" t="s">
        <v>457</v>
      </c>
      <c r="F54" s="128" t="s">
        <v>458</v>
      </c>
      <c r="G54" s="128" t="s">
        <v>459</v>
      </c>
      <c r="H54" s="128" t="s">
        <v>460</v>
      </c>
      <c r="I54" s="128" t="s">
        <v>461</v>
      </c>
      <c r="J54" s="128" t="s">
        <v>462</v>
      </c>
      <c r="K54" s="125" t="s">
        <v>463</v>
      </c>
      <c r="L54" s="128" t="s">
        <v>464</v>
      </c>
      <c r="M54" s="129" t="s">
        <v>465</v>
      </c>
    </row>
    <row r="55" spans="1:13" outlineLevel="1" x14ac:dyDescent="0.35">
      <c r="A55" s="285" t="s">
        <v>1179</v>
      </c>
      <c r="B55" s="110" t="s">
        <v>1180</v>
      </c>
      <c r="C55" s="138">
        <v>18638</v>
      </c>
      <c r="D55" s="138">
        <v>15214</v>
      </c>
      <c r="E55" s="138">
        <v>3475</v>
      </c>
      <c r="F55" s="138">
        <v>-2123</v>
      </c>
      <c r="G55" s="138">
        <v>-339</v>
      </c>
      <c r="H55" s="138">
        <v>47846</v>
      </c>
      <c r="I55" s="138">
        <v>820</v>
      </c>
      <c r="J55" s="138">
        <v>979870</v>
      </c>
      <c r="K55" s="138">
        <v>1063401</v>
      </c>
      <c r="L55" s="138">
        <v>10446</v>
      </c>
      <c r="M55" s="139">
        <v>1073847</v>
      </c>
    </row>
    <row r="56" spans="1:13" outlineLevel="1" x14ac:dyDescent="0.35">
      <c r="A56" s="270" t="s">
        <v>490</v>
      </c>
      <c r="B56" s="102" t="s">
        <v>491</v>
      </c>
      <c r="C56" s="119">
        <v>0</v>
      </c>
      <c r="D56" s="119">
        <v>0</v>
      </c>
      <c r="E56" s="119">
        <v>0</v>
      </c>
      <c r="F56" s="119">
        <v>0</v>
      </c>
      <c r="G56" s="119">
        <v>0</v>
      </c>
      <c r="H56" s="119">
        <v>0</v>
      </c>
      <c r="I56" s="119">
        <v>0</v>
      </c>
      <c r="J56" s="8">
        <v>158850</v>
      </c>
      <c r="K56" s="29">
        <v>158850</v>
      </c>
      <c r="L56" s="8">
        <v>1801</v>
      </c>
      <c r="M56" s="133">
        <v>160651</v>
      </c>
    </row>
    <row r="57" spans="1:13" outlineLevel="1" x14ac:dyDescent="0.35">
      <c r="A57" s="132" t="s">
        <v>232</v>
      </c>
      <c r="B57" s="102" t="s">
        <v>233</v>
      </c>
      <c r="C57" s="119">
        <v>0</v>
      </c>
      <c r="D57" s="119">
        <v>0</v>
      </c>
      <c r="E57" s="119">
        <v>0</v>
      </c>
      <c r="F57" s="119">
        <v>0</v>
      </c>
      <c r="G57" s="119">
        <v>0</v>
      </c>
      <c r="H57" s="8">
        <v>1601</v>
      </c>
      <c r="I57" s="119">
        <v>0</v>
      </c>
      <c r="J57" s="119">
        <v>0</v>
      </c>
      <c r="K57" s="29">
        <v>1601</v>
      </c>
      <c r="L57" s="8">
        <v>-402</v>
      </c>
      <c r="M57" s="133">
        <v>1199</v>
      </c>
    </row>
    <row r="58" spans="1:13" outlineLevel="1" x14ac:dyDescent="0.35">
      <c r="A58" s="132" t="s">
        <v>234</v>
      </c>
      <c r="B58" s="102" t="s">
        <v>235</v>
      </c>
      <c r="C58" s="119">
        <v>0</v>
      </c>
      <c r="D58" s="119">
        <v>0</v>
      </c>
      <c r="E58" s="119">
        <v>0</v>
      </c>
      <c r="F58" s="119">
        <v>0</v>
      </c>
      <c r="G58" s="119">
        <v>0</v>
      </c>
      <c r="H58" s="8">
        <v>86</v>
      </c>
      <c r="I58" s="119">
        <v>0</v>
      </c>
      <c r="J58" s="119">
        <v>0</v>
      </c>
      <c r="K58" s="29">
        <v>86</v>
      </c>
      <c r="L58" s="119">
        <v>0</v>
      </c>
      <c r="M58" s="133">
        <v>86</v>
      </c>
    </row>
    <row r="59" spans="1:13" s="126" customFormat="1" ht="13.5" outlineLevel="1" x14ac:dyDescent="0.3">
      <c r="A59" s="132" t="s">
        <v>492</v>
      </c>
      <c r="B59" s="102" t="s">
        <v>471</v>
      </c>
      <c r="C59" s="119">
        <v>0</v>
      </c>
      <c r="D59" s="119">
        <v>0</v>
      </c>
      <c r="E59" s="119">
        <v>0</v>
      </c>
      <c r="F59" s="119">
        <v>0</v>
      </c>
      <c r="G59" s="119">
        <v>0</v>
      </c>
      <c r="H59" s="119">
        <v>0</v>
      </c>
      <c r="I59" s="119">
        <v>0</v>
      </c>
      <c r="J59" s="8">
        <v>-657</v>
      </c>
      <c r="K59" s="29">
        <v>-657</v>
      </c>
      <c r="L59" s="119">
        <v>0</v>
      </c>
      <c r="M59" s="133">
        <v>-657</v>
      </c>
    </row>
    <row r="60" spans="1:13" s="31" customFormat="1" outlineLevel="1" x14ac:dyDescent="0.35">
      <c r="A60" s="132" t="s">
        <v>472</v>
      </c>
      <c r="B60" s="102" t="s">
        <v>473</v>
      </c>
      <c r="C60" s="119">
        <v>0</v>
      </c>
      <c r="D60" s="119">
        <v>0</v>
      </c>
      <c r="E60" s="119">
        <v>0</v>
      </c>
      <c r="F60" s="119">
        <v>0</v>
      </c>
      <c r="G60" s="8">
        <v>2338</v>
      </c>
      <c r="H60" s="119">
        <v>0</v>
      </c>
      <c r="I60" s="119">
        <v>0</v>
      </c>
      <c r="J60" s="119">
        <v>0</v>
      </c>
      <c r="K60" s="29">
        <v>2338</v>
      </c>
      <c r="L60" s="119">
        <v>0</v>
      </c>
      <c r="M60" s="133">
        <v>2338</v>
      </c>
    </row>
    <row r="61" spans="1:13" outlineLevel="1" x14ac:dyDescent="0.35">
      <c r="A61" s="132" t="s">
        <v>474</v>
      </c>
      <c r="B61" s="102" t="s">
        <v>475</v>
      </c>
      <c r="C61" s="119">
        <v>0</v>
      </c>
      <c r="D61" s="119">
        <v>0</v>
      </c>
      <c r="E61" s="119">
        <v>0</v>
      </c>
      <c r="F61" s="119">
        <v>0</v>
      </c>
      <c r="G61" s="8">
        <v>0</v>
      </c>
      <c r="H61" s="119">
        <v>0</v>
      </c>
      <c r="I61" s="119">
        <v>0</v>
      </c>
      <c r="J61" s="8">
        <v>0</v>
      </c>
      <c r="K61" s="146">
        <v>0</v>
      </c>
      <c r="L61" s="119">
        <v>0</v>
      </c>
      <c r="M61" s="144">
        <v>0</v>
      </c>
    </row>
    <row r="62" spans="1:13" outlineLevel="1" x14ac:dyDescent="0.35">
      <c r="A62" s="132" t="s">
        <v>236</v>
      </c>
      <c r="B62" s="102" t="s">
        <v>237</v>
      </c>
      <c r="C62" s="119">
        <v>0</v>
      </c>
      <c r="D62" s="119">
        <v>0</v>
      </c>
      <c r="E62" s="119">
        <v>0</v>
      </c>
      <c r="F62" s="119">
        <v>0</v>
      </c>
      <c r="G62" s="8">
        <v>0</v>
      </c>
      <c r="H62" s="119">
        <v>0</v>
      </c>
      <c r="I62" s="119">
        <v>18093</v>
      </c>
      <c r="J62" s="8">
        <v>0</v>
      </c>
      <c r="K62" s="146">
        <v>18093</v>
      </c>
      <c r="L62" s="119">
        <v>0</v>
      </c>
      <c r="M62" s="144">
        <v>18093</v>
      </c>
    </row>
    <row r="63" spans="1:13" outlineLevel="1" x14ac:dyDescent="0.35">
      <c r="A63" s="132" t="s">
        <v>238</v>
      </c>
      <c r="B63" s="102" t="s">
        <v>239</v>
      </c>
      <c r="C63" s="119">
        <v>0</v>
      </c>
      <c r="D63" s="119">
        <v>0</v>
      </c>
      <c r="E63" s="119">
        <v>0</v>
      </c>
      <c r="F63" s="119">
        <v>0</v>
      </c>
      <c r="G63" s="119">
        <v>0</v>
      </c>
      <c r="H63" s="119">
        <v>0</v>
      </c>
      <c r="I63" s="8">
        <v>-12367</v>
      </c>
      <c r="J63" s="119">
        <v>0</v>
      </c>
      <c r="K63" s="29">
        <v>-12367</v>
      </c>
      <c r="L63" s="119">
        <v>0</v>
      </c>
      <c r="M63" s="133">
        <v>-12367</v>
      </c>
    </row>
    <row r="64" spans="1:13" outlineLevel="1" x14ac:dyDescent="0.35">
      <c r="A64" s="130" t="s">
        <v>1181</v>
      </c>
      <c r="B64" s="111" t="s">
        <v>1182</v>
      </c>
      <c r="C64" s="143">
        <v>0</v>
      </c>
      <c r="D64" s="143">
        <v>0</v>
      </c>
      <c r="E64" s="143">
        <v>0</v>
      </c>
      <c r="F64" s="143">
        <v>0</v>
      </c>
      <c r="G64" s="124">
        <v>2338</v>
      </c>
      <c r="H64" s="124">
        <v>1687</v>
      </c>
      <c r="I64" s="124">
        <v>5726</v>
      </c>
      <c r="J64" s="124">
        <v>158193</v>
      </c>
      <c r="K64" s="124">
        <v>167944</v>
      </c>
      <c r="L64" s="143">
        <v>1399</v>
      </c>
      <c r="M64" s="131">
        <v>169343</v>
      </c>
    </row>
    <row r="65" spans="1:13" outlineLevel="1" x14ac:dyDescent="0.35">
      <c r="A65" s="132" t="s">
        <v>1122</v>
      </c>
      <c r="B65" s="102" t="s">
        <v>478</v>
      </c>
      <c r="C65" s="119">
        <v>0</v>
      </c>
      <c r="D65" s="119">
        <v>0</v>
      </c>
      <c r="E65" s="119">
        <v>0</v>
      </c>
      <c r="F65" s="8">
        <v>-29799</v>
      </c>
      <c r="G65" s="119">
        <v>0</v>
      </c>
      <c r="H65" s="119">
        <v>0</v>
      </c>
      <c r="I65" s="119">
        <v>0</v>
      </c>
      <c r="J65" s="8">
        <v>0</v>
      </c>
      <c r="K65" s="119">
        <v>-29799</v>
      </c>
      <c r="L65" s="119">
        <v>0</v>
      </c>
      <c r="M65" s="144">
        <v>-29799</v>
      </c>
    </row>
    <row r="66" spans="1:13" outlineLevel="1" x14ac:dyDescent="0.35">
      <c r="A66" s="132" t="s">
        <v>1123</v>
      </c>
      <c r="B66" s="102" t="s">
        <v>479</v>
      </c>
      <c r="C66" s="119">
        <v>0</v>
      </c>
      <c r="D66" s="119">
        <v>0</v>
      </c>
      <c r="E66" s="119">
        <v>0</v>
      </c>
      <c r="F66" s="8">
        <v>1940</v>
      </c>
      <c r="G66" s="119">
        <v>0</v>
      </c>
      <c r="H66" s="119">
        <v>0</v>
      </c>
      <c r="I66" s="119">
        <v>0</v>
      </c>
      <c r="J66" s="8">
        <v>-1940</v>
      </c>
      <c r="K66" s="146">
        <v>0</v>
      </c>
      <c r="L66" s="119">
        <v>0</v>
      </c>
      <c r="M66" s="144">
        <v>0</v>
      </c>
    </row>
    <row r="67" spans="1:13" outlineLevel="1" x14ac:dyDescent="0.35">
      <c r="A67" s="132" t="s">
        <v>480</v>
      </c>
      <c r="B67" s="102" t="s">
        <v>481</v>
      </c>
      <c r="C67" s="119">
        <v>0</v>
      </c>
      <c r="D67" s="119">
        <v>0</v>
      </c>
      <c r="E67" s="119">
        <v>0</v>
      </c>
      <c r="F67" s="119">
        <v>0</v>
      </c>
      <c r="G67" s="119">
        <v>0</v>
      </c>
      <c r="H67" s="119">
        <v>0</v>
      </c>
      <c r="I67" s="119">
        <v>0</v>
      </c>
      <c r="J67" s="8">
        <v>1954</v>
      </c>
      <c r="K67" s="29">
        <v>1954</v>
      </c>
      <c r="L67" s="119">
        <v>0</v>
      </c>
      <c r="M67" s="133">
        <v>1954</v>
      </c>
    </row>
    <row r="68" spans="1:13" outlineLevel="1" x14ac:dyDescent="0.35">
      <c r="A68" s="132" t="s">
        <v>493</v>
      </c>
      <c r="B68" s="102" t="s">
        <v>494</v>
      </c>
      <c r="C68" s="119">
        <v>0</v>
      </c>
      <c r="D68" s="119">
        <v>0</v>
      </c>
      <c r="E68" s="119">
        <v>0</v>
      </c>
      <c r="F68" s="119">
        <v>0</v>
      </c>
      <c r="G68" s="119">
        <v>0</v>
      </c>
      <c r="H68" s="119">
        <v>0</v>
      </c>
      <c r="I68" s="119">
        <v>0</v>
      </c>
      <c r="J68" s="8">
        <v>-72686</v>
      </c>
      <c r="K68" s="29">
        <v>-72686</v>
      </c>
      <c r="L68" s="119">
        <v>0</v>
      </c>
      <c r="M68" s="133">
        <v>-72686</v>
      </c>
    </row>
    <row r="69" spans="1:13" s="31" customFormat="1" outlineLevel="1" x14ac:dyDescent="0.35">
      <c r="A69" s="132" t="s">
        <v>484</v>
      </c>
      <c r="B69" s="102" t="s">
        <v>485</v>
      </c>
      <c r="C69" s="119">
        <v>0</v>
      </c>
      <c r="D69" s="119">
        <v>0</v>
      </c>
      <c r="E69" s="119">
        <v>0</v>
      </c>
      <c r="F69" s="119">
        <v>0</v>
      </c>
      <c r="G69" s="119">
        <v>0</v>
      </c>
      <c r="H69" s="119">
        <v>0</v>
      </c>
      <c r="I69" s="119">
        <v>0</v>
      </c>
      <c r="J69" s="8">
        <v>0</v>
      </c>
      <c r="K69" s="29">
        <v>0</v>
      </c>
      <c r="L69" s="119">
        <v>-177</v>
      </c>
      <c r="M69" s="133">
        <v>-177</v>
      </c>
    </row>
    <row r="70" spans="1:13" outlineLevel="1" x14ac:dyDescent="0.35">
      <c r="A70" s="132" t="s">
        <v>1126</v>
      </c>
      <c r="B70" s="102" t="s">
        <v>1127</v>
      </c>
      <c r="C70" s="119">
        <v>0</v>
      </c>
      <c r="D70" s="119">
        <v>0</v>
      </c>
      <c r="E70" s="119">
        <v>0</v>
      </c>
      <c r="F70" s="119">
        <v>0</v>
      </c>
      <c r="G70" s="119">
        <v>0</v>
      </c>
      <c r="H70" s="119">
        <v>0</v>
      </c>
      <c r="I70" s="119">
        <v>0</v>
      </c>
      <c r="J70" s="8">
        <v>0</v>
      </c>
      <c r="K70" s="29">
        <v>0</v>
      </c>
      <c r="L70" s="119">
        <v>0</v>
      </c>
      <c r="M70" s="133">
        <v>0</v>
      </c>
    </row>
    <row r="71" spans="1:13" outlineLevel="1" x14ac:dyDescent="0.35">
      <c r="A71" s="132" t="s">
        <v>1128</v>
      </c>
      <c r="B71" s="102" t="s">
        <v>1129</v>
      </c>
      <c r="C71" s="119">
        <v>0</v>
      </c>
      <c r="D71" s="119">
        <v>0</v>
      </c>
      <c r="E71" s="119">
        <v>0</v>
      </c>
      <c r="F71" s="119">
        <v>0</v>
      </c>
      <c r="G71" s="119">
        <v>0</v>
      </c>
      <c r="H71" s="119">
        <v>0</v>
      </c>
      <c r="I71" s="119">
        <v>0</v>
      </c>
      <c r="J71" s="8">
        <v>0</v>
      </c>
      <c r="K71" s="29">
        <v>0</v>
      </c>
      <c r="L71" s="119">
        <v>0</v>
      </c>
      <c r="M71" s="133">
        <v>0</v>
      </c>
    </row>
    <row r="72" spans="1:13" outlineLevel="1" x14ac:dyDescent="0.35">
      <c r="A72" s="132" t="s">
        <v>495</v>
      </c>
      <c r="B72" s="102" t="s">
        <v>496</v>
      </c>
      <c r="C72" s="145">
        <v>0</v>
      </c>
      <c r="D72" s="145">
        <v>0</v>
      </c>
      <c r="E72" s="145">
        <v>0</v>
      </c>
      <c r="F72" s="119">
        <v>0</v>
      </c>
      <c r="G72" s="119">
        <v>0</v>
      </c>
      <c r="H72" s="119">
        <v>0</v>
      </c>
      <c r="I72" s="119">
        <v>0</v>
      </c>
      <c r="J72" s="119">
        <v>0</v>
      </c>
      <c r="K72" s="119">
        <v>0</v>
      </c>
      <c r="L72" s="8">
        <v>98.887771100600006</v>
      </c>
      <c r="M72" s="133">
        <v>98.887771100600006</v>
      </c>
    </row>
    <row r="73" spans="1:13" outlineLevel="1" x14ac:dyDescent="0.35">
      <c r="A73" s="130" t="s">
        <v>497</v>
      </c>
      <c r="B73" s="111" t="s">
        <v>498</v>
      </c>
      <c r="C73" s="143">
        <v>0</v>
      </c>
      <c r="D73" s="143">
        <v>0</v>
      </c>
      <c r="E73" s="143">
        <v>0</v>
      </c>
      <c r="F73" s="124">
        <v>-27859</v>
      </c>
      <c r="G73" s="143">
        <v>0</v>
      </c>
      <c r="H73" s="143">
        <v>0</v>
      </c>
      <c r="I73" s="143">
        <v>0</v>
      </c>
      <c r="J73" s="124">
        <v>-72672</v>
      </c>
      <c r="K73" s="124">
        <v>-100531</v>
      </c>
      <c r="L73" s="124">
        <v>-78.112228899399994</v>
      </c>
      <c r="M73" s="131">
        <v>-100609.11222889939</v>
      </c>
    </row>
    <row r="74" spans="1:13" ht="15" outlineLevel="1" thickBot="1" x14ac:dyDescent="0.4">
      <c r="A74" s="135" t="s">
        <v>1183</v>
      </c>
      <c r="B74" s="223" t="s">
        <v>1184</v>
      </c>
      <c r="C74" s="136">
        <v>18638</v>
      </c>
      <c r="D74" s="136">
        <v>15214</v>
      </c>
      <c r="E74" s="136">
        <v>3475</v>
      </c>
      <c r="F74" s="136">
        <v>-29982</v>
      </c>
      <c r="G74" s="136">
        <v>1999</v>
      </c>
      <c r="H74" s="136">
        <v>49533</v>
      </c>
      <c r="I74" s="136">
        <v>6546</v>
      </c>
      <c r="J74" s="136">
        <v>1065391</v>
      </c>
      <c r="K74" s="136">
        <v>1130814</v>
      </c>
      <c r="L74" s="136">
        <v>11766.887771100601</v>
      </c>
      <c r="M74" s="137">
        <v>1142580.8877711005</v>
      </c>
    </row>
    <row r="75" spans="1:13" ht="15" thickTop="1" x14ac:dyDescent="0.35"/>
    <row r="77" spans="1:13" ht="15" thickBot="1" x14ac:dyDescent="0.4">
      <c r="A77" s="485">
        <v>2023</v>
      </c>
      <c r="B77" s="485"/>
      <c r="C77" s="485"/>
      <c r="D77" s="485"/>
      <c r="E77" s="485"/>
      <c r="F77" s="485"/>
      <c r="G77" s="485"/>
      <c r="H77" s="485"/>
      <c r="I77" s="485"/>
      <c r="J77" s="485"/>
      <c r="K77" s="485"/>
      <c r="L77" s="485"/>
      <c r="M77" s="485"/>
    </row>
    <row r="78" spans="1:13" ht="15.5" thickTop="1" thickBot="1" x14ac:dyDescent="0.4">
      <c r="A78" s="440" t="s">
        <v>521</v>
      </c>
      <c r="B78" s="441"/>
      <c r="C78" s="441"/>
      <c r="D78" s="441"/>
      <c r="E78" s="441"/>
      <c r="F78" s="441"/>
      <c r="G78" s="441"/>
      <c r="H78" s="441"/>
      <c r="I78" s="441"/>
      <c r="J78" s="441"/>
      <c r="K78" s="441"/>
      <c r="L78" s="441"/>
      <c r="M78" s="442"/>
    </row>
    <row r="79" spans="1:13" ht="144" outlineLevel="1" thickTop="1" x14ac:dyDescent="0.35">
      <c r="A79" s="127" t="s">
        <v>62</v>
      </c>
      <c r="B79" s="127" t="s">
        <v>62</v>
      </c>
      <c r="C79" s="128" t="s">
        <v>455</v>
      </c>
      <c r="D79" s="128" t="s">
        <v>456</v>
      </c>
      <c r="E79" s="128" t="s">
        <v>457</v>
      </c>
      <c r="F79" s="128" t="s">
        <v>458</v>
      </c>
      <c r="G79" s="128" t="s">
        <v>459</v>
      </c>
      <c r="H79" s="128" t="s">
        <v>460</v>
      </c>
      <c r="I79" s="128" t="s">
        <v>461</v>
      </c>
      <c r="J79" s="128" t="s">
        <v>462</v>
      </c>
      <c r="K79" s="125" t="s">
        <v>463</v>
      </c>
      <c r="L79" s="128" t="s">
        <v>464</v>
      </c>
      <c r="M79" s="129" t="s">
        <v>465</v>
      </c>
    </row>
    <row r="80" spans="1:13" outlineLevel="1" x14ac:dyDescent="0.35">
      <c r="A80" s="130" t="s">
        <v>1131</v>
      </c>
      <c r="B80" s="111" t="s">
        <v>1132</v>
      </c>
      <c r="C80" s="124">
        <v>18638</v>
      </c>
      <c r="D80" s="124">
        <v>15214</v>
      </c>
      <c r="E80" s="124">
        <v>3475</v>
      </c>
      <c r="F80" s="124">
        <v>-2123</v>
      </c>
      <c r="G80" s="124">
        <v>-339</v>
      </c>
      <c r="H80" s="124">
        <v>47846</v>
      </c>
      <c r="I80" s="124">
        <v>820</v>
      </c>
      <c r="J80" s="124">
        <v>979870</v>
      </c>
      <c r="K80" s="124">
        <v>1063401</v>
      </c>
      <c r="L80" s="124">
        <v>10446</v>
      </c>
      <c r="M80" s="131">
        <v>1073847</v>
      </c>
    </row>
    <row r="81" spans="1:13" outlineLevel="1" x14ac:dyDescent="0.35">
      <c r="A81" s="132" t="s">
        <v>197</v>
      </c>
      <c r="B81" s="102" t="s">
        <v>198</v>
      </c>
      <c r="C81" s="8">
        <v>0</v>
      </c>
      <c r="D81" s="8">
        <v>0</v>
      </c>
      <c r="E81" s="8">
        <v>0</v>
      </c>
      <c r="F81" s="8">
        <v>0</v>
      </c>
      <c r="G81" s="8">
        <v>0</v>
      </c>
      <c r="H81" s="8">
        <v>0</v>
      </c>
      <c r="I81" s="8">
        <v>0</v>
      </c>
      <c r="J81" s="8">
        <v>122490</v>
      </c>
      <c r="K81" s="29">
        <v>122490</v>
      </c>
      <c r="L81" s="8">
        <v>1259</v>
      </c>
      <c r="M81" s="133">
        <v>123749</v>
      </c>
    </row>
    <row r="82" spans="1:13" s="31" customFormat="1" outlineLevel="1" x14ac:dyDescent="0.35">
      <c r="A82" s="132" t="s">
        <v>232</v>
      </c>
      <c r="B82" s="102" t="s">
        <v>233</v>
      </c>
      <c r="C82" s="8">
        <v>0</v>
      </c>
      <c r="D82" s="8">
        <v>0</v>
      </c>
      <c r="E82" s="8">
        <v>0</v>
      </c>
      <c r="F82" s="8">
        <v>0</v>
      </c>
      <c r="G82" s="8">
        <v>0</v>
      </c>
      <c r="H82" s="8">
        <v>-1721</v>
      </c>
      <c r="I82" s="8">
        <v>0</v>
      </c>
      <c r="J82" s="8">
        <v>0</v>
      </c>
      <c r="K82" s="29">
        <v>-1721</v>
      </c>
      <c r="L82" s="8">
        <v>-109</v>
      </c>
      <c r="M82" s="133">
        <v>-1830</v>
      </c>
    </row>
    <row r="83" spans="1:13" s="31" customFormat="1" outlineLevel="1" x14ac:dyDescent="0.35">
      <c r="A83" s="132" t="s">
        <v>234</v>
      </c>
      <c r="B83" s="102" t="s">
        <v>235</v>
      </c>
      <c r="C83" s="8">
        <v>0</v>
      </c>
      <c r="D83" s="8">
        <v>0</v>
      </c>
      <c r="E83" s="8">
        <v>0</v>
      </c>
      <c r="F83" s="8">
        <v>0</v>
      </c>
      <c r="G83" s="8">
        <v>0</v>
      </c>
      <c r="H83" s="8">
        <v>-120</v>
      </c>
      <c r="I83" s="8">
        <v>0</v>
      </c>
      <c r="J83" s="8">
        <v>0</v>
      </c>
      <c r="K83" s="29">
        <v>-120</v>
      </c>
      <c r="L83" s="8">
        <v>0</v>
      </c>
      <c r="M83" s="133">
        <v>-120</v>
      </c>
    </row>
    <row r="84" spans="1:13" outlineLevel="1" x14ac:dyDescent="0.35">
      <c r="A84" s="132" t="s">
        <v>492</v>
      </c>
      <c r="B84" s="102" t="s">
        <v>471</v>
      </c>
      <c r="C84" s="8">
        <v>0</v>
      </c>
      <c r="D84" s="8">
        <v>0</v>
      </c>
      <c r="E84" s="8">
        <v>0</v>
      </c>
      <c r="F84" s="8">
        <v>0</v>
      </c>
      <c r="G84" s="8">
        <v>0</v>
      </c>
      <c r="H84" s="8">
        <v>0</v>
      </c>
      <c r="I84" s="8">
        <v>0</v>
      </c>
      <c r="J84" s="8">
        <v>-292</v>
      </c>
      <c r="K84" s="29">
        <v>-292</v>
      </c>
      <c r="L84" s="8">
        <v>0</v>
      </c>
      <c r="M84" s="133">
        <v>-292</v>
      </c>
    </row>
    <row r="85" spans="1:13" outlineLevel="1" x14ac:dyDescent="0.35">
      <c r="A85" s="132" t="s">
        <v>472</v>
      </c>
      <c r="B85" s="102" t="s">
        <v>473</v>
      </c>
      <c r="C85" s="8">
        <v>0</v>
      </c>
      <c r="D85" s="8">
        <v>0</v>
      </c>
      <c r="E85" s="8">
        <v>0</v>
      </c>
      <c r="F85" s="8">
        <v>0</v>
      </c>
      <c r="G85" s="8">
        <v>345</v>
      </c>
      <c r="H85" s="8">
        <v>0</v>
      </c>
      <c r="I85" s="8">
        <v>0</v>
      </c>
      <c r="J85" s="8">
        <v>0</v>
      </c>
      <c r="K85" s="29">
        <v>345</v>
      </c>
      <c r="L85" s="8">
        <v>0</v>
      </c>
      <c r="M85" s="133">
        <v>345</v>
      </c>
    </row>
    <row r="86" spans="1:13" outlineLevel="1" x14ac:dyDescent="0.35">
      <c r="A86" s="132" t="s">
        <v>474</v>
      </c>
      <c r="B86" s="102" t="s">
        <v>475</v>
      </c>
      <c r="C86" s="8">
        <v>0</v>
      </c>
      <c r="D86" s="8">
        <v>0</v>
      </c>
      <c r="E86" s="8">
        <v>0</v>
      </c>
      <c r="F86" s="8">
        <v>0</v>
      </c>
      <c r="G86" s="8">
        <v>0</v>
      </c>
      <c r="H86" s="8">
        <v>0</v>
      </c>
      <c r="I86" s="8">
        <v>0</v>
      </c>
      <c r="J86" s="8">
        <v>0</v>
      </c>
      <c r="K86" s="29">
        <v>0</v>
      </c>
      <c r="L86" s="8">
        <v>0</v>
      </c>
      <c r="M86" s="133">
        <v>0</v>
      </c>
    </row>
    <row r="87" spans="1:13" outlineLevel="1" x14ac:dyDescent="0.35">
      <c r="A87" s="132" t="s">
        <v>236</v>
      </c>
      <c r="B87" s="102" t="s">
        <v>237</v>
      </c>
      <c r="C87" s="8">
        <v>0</v>
      </c>
      <c r="D87" s="8">
        <v>0</v>
      </c>
      <c r="E87" s="8">
        <v>0</v>
      </c>
      <c r="F87" s="8">
        <v>0</v>
      </c>
      <c r="G87" s="8">
        <v>0</v>
      </c>
      <c r="H87" s="8">
        <v>0</v>
      </c>
      <c r="I87" s="8">
        <v>8957</v>
      </c>
      <c r="J87" s="8">
        <v>0</v>
      </c>
      <c r="K87" s="29">
        <v>8957</v>
      </c>
      <c r="L87" s="8">
        <v>0</v>
      </c>
      <c r="M87" s="133">
        <v>8957</v>
      </c>
    </row>
    <row r="88" spans="1:13" s="126" customFormat="1" ht="13.5" outlineLevel="1" x14ac:dyDescent="0.3">
      <c r="A88" s="132" t="s">
        <v>238</v>
      </c>
      <c r="B88" s="102" t="s">
        <v>239</v>
      </c>
      <c r="C88" s="8">
        <v>0</v>
      </c>
      <c r="D88" s="8">
        <v>0</v>
      </c>
      <c r="E88" s="8">
        <v>0</v>
      </c>
      <c r="F88" s="8">
        <v>0</v>
      </c>
      <c r="G88" s="8">
        <v>0</v>
      </c>
      <c r="H88" s="8">
        <v>0</v>
      </c>
      <c r="I88" s="8">
        <v>-7462</v>
      </c>
      <c r="J88" s="8">
        <v>0</v>
      </c>
      <c r="K88" s="29">
        <v>-7462</v>
      </c>
      <c r="L88" s="8">
        <v>0</v>
      </c>
      <c r="M88" s="133">
        <v>-7462</v>
      </c>
    </row>
    <row r="89" spans="1:13" s="31" customFormat="1" outlineLevel="1" x14ac:dyDescent="0.35">
      <c r="A89" s="130" t="s">
        <v>526</v>
      </c>
      <c r="B89" s="111" t="s">
        <v>1133</v>
      </c>
      <c r="C89" s="124">
        <v>0</v>
      </c>
      <c r="D89" s="124">
        <v>0</v>
      </c>
      <c r="E89" s="124">
        <v>0</v>
      </c>
      <c r="F89" s="124">
        <v>0</v>
      </c>
      <c r="G89" s="124">
        <v>345</v>
      </c>
      <c r="H89" s="124">
        <v>-1841</v>
      </c>
      <c r="I89" s="124">
        <v>1495</v>
      </c>
      <c r="J89" s="124">
        <v>122198</v>
      </c>
      <c r="K89" s="124">
        <v>122197</v>
      </c>
      <c r="L89" s="124">
        <v>1150</v>
      </c>
      <c r="M89" s="131">
        <v>123347</v>
      </c>
    </row>
    <row r="90" spans="1:13" outlineLevel="1" x14ac:dyDescent="0.35">
      <c r="A90" s="132" t="s">
        <v>1122</v>
      </c>
      <c r="B90" s="102" t="s">
        <v>478</v>
      </c>
      <c r="C90" s="8">
        <v>0</v>
      </c>
      <c r="D90" s="8">
        <v>0</v>
      </c>
      <c r="E90" s="8">
        <v>0</v>
      </c>
      <c r="F90" s="8">
        <v>-17408</v>
      </c>
      <c r="G90" s="8">
        <v>0</v>
      </c>
      <c r="H90" s="8">
        <v>0</v>
      </c>
      <c r="I90" s="8">
        <v>0</v>
      </c>
      <c r="J90" s="8">
        <v>0</v>
      </c>
      <c r="K90" s="29">
        <v>-17408</v>
      </c>
      <c r="L90" s="8">
        <v>0</v>
      </c>
      <c r="M90" s="133">
        <v>-17408</v>
      </c>
    </row>
    <row r="91" spans="1:13" outlineLevel="1" x14ac:dyDescent="0.35">
      <c r="A91" s="132" t="s">
        <v>1123</v>
      </c>
      <c r="B91" s="102" t="s">
        <v>479</v>
      </c>
      <c r="C91" s="8">
        <v>0</v>
      </c>
      <c r="D91" s="8">
        <v>0</v>
      </c>
      <c r="E91" s="8">
        <v>0</v>
      </c>
      <c r="F91" s="8">
        <v>-83</v>
      </c>
      <c r="G91" s="8">
        <v>0</v>
      </c>
      <c r="H91" s="8">
        <v>0</v>
      </c>
      <c r="I91" s="8">
        <v>0</v>
      </c>
      <c r="J91" s="8">
        <v>83</v>
      </c>
      <c r="K91" s="29">
        <v>0</v>
      </c>
      <c r="L91" s="8">
        <v>0</v>
      </c>
      <c r="M91" s="133">
        <v>0</v>
      </c>
    </row>
    <row r="92" spans="1:13" outlineLevel="1" x14ac:dyDescent="0.35">
      <c r="A92" s="132" t="s">
        <v>480</v>
      </c>
      <c r="B92" s="102" t="s">
        <v>481</v>
      </c>
      <c r="C92" s="8">
        <v>0</v>
      </c>
      <c r="D92" s="8">
        <v>0</v>
      </c>
      <c r="E92" s="8">
        <v>0</v>
      </c>
      <c r="F92" s="8">
        <v>0</v>
      </c>
      <c r="G92" s="8">
        <v>0</v>
      </c>
      <c r="H92" s="8">
        <v>0</v>
      </c>
      <c r="I92" s="8">
        <v>0</v>
      </c>
      <c r="J92" s="8">
        <v>1477</v>
      </c>
      <c r="K92" s="29">
        <v>1477</v>
      </c>
      <c r="L92" s="8">
        <v>0</v>
      </c>
      <c r="M92" s="133">
        <v>1477</v>
      </c>
    </row>
    <row r="93" spans="1:13" outlineLevel="1" x14ac:dyDescent="0.35">
      <c r="A93" s="132" t="s">
        <v>493</v>
      </c>
      <c r="B93" s="102" t="s">
        <v>494</v>
      </c>
      <c r="C93" s="8">
        <v>0</v>
      </c>
      <c r="D93" s="8">
        <v>0</v>
      </c>
      <c r="E93" s="8">
        <v>0</v>
      </c>
      <c r="F93" s="8">
        <v>0</v>
      </c>
      <c r="G93" s="8">
        <v>0</v>
      </c>
      <c r="H93" s="8">
        <v>0</v>
      </c>
      <c r="I93" s="8">
        <v>0</v>
      </c>
      <c r="J93" s="8">
        <v>-72686</v>
      </c>
      <c r="K93" s="29">
        <v>-72686</v>
      </c>
      <c r="L93" s="8">
        <v>0</v>
      </c>
      <c r="M93" s="133">
        <v>-72686</v>
      </c>
    </row>
    <row r="94" spans="1:13" outlineLevel="1" x14ac:dyDescent="0.35">
      <c r="A94" s="132" t="s">
        <v>484</v>
      </c>
      <c r="B94" s="102" t="s">
        <v>485</v>
      </c>
      <c r="C94" s="8">
        <v>0</v>
      </c>
      <c r="D94" s="8">
        <v>0</v>
      </c>
      <c r="E94" s="8">
        <v>0</v>
      </c>
      <c r="F94" s="8">
        <v>0</v>
      </c>
      <c r="G94" s="8">
        <v>0</v>
      </c>
      <c r="H94" s="8">
        <v>0</v>
      </c>
      <c r="I94" s="8">
        <v>0</v>
      </c>
      <c r="J94" s="8">
        <v>0</v>
      </c>
      <c r="K94" s="29">
        <v>0</v>
      </c>
      <c r="L94" s="8">
        <v>-177</v>
      </c>
      <c r="M94" s="133">
        <v>-177</v>
      </c>
    </row>
    <row r="95" spans="1:13" outlineLevel="1" x14ac:dyDescent="0.35">
      <c r="A95" s="132" t="s">
        <v>1126</v>
      </c>
      <c r="B95" s="102" t="s">
        <v>1127</v>
      </c>
      <c r="C95" s="8">
        <v>0</v>
      </c>
      <c r="D95" s="8">
        <v>0</v>
      </c>
      <c r="E95" s="8">
        <v>0</v>
      </c>
      <c r="F95" s="8">
        <v>0</v>
      </c>
      <c r="G95" s="8">
        <v>0</v>
      </c>
      <c r="H95" s="8">
        <v>0</v>
      </c>
      <c r="I95" s="8">
        <v>0</v>
      </c>
      <c r="J95" s="8">
        <v>0</v>
      </c>
      <c r="K95" s="29">
        <v>0</v>
      </c>
      <c r="L95" s="8">
        <v>0</v>
      </c>
      <c r="M95" s="133">
        <v>0</v>
      </c>
    </row>
    <row r="96" spans="1:13" outlineLevel="1" x14ac:dyDescent="0.35">
      <c r="A96" s="132" t="s">
        <v>1128</v>
      </c>
      <c r="B96" s="102" t="s">
        <v>1129</v>
      </c>
      <c r="C96" s="8">
        <v>0</v>
      </c>
      <c r="D96" s="8">
        <v>0</v>
      </c>
      <c r="E96" s="8">
        <v>0</v>
      </c>
      <c r="F96" s="8">
        <v>0</v>
      </c>
      <c r="G96" s="8">
        <v>0</v>
      </c>
      <c r="H96" s="8">
        <v>0</v>
      </c>
      <c r="I96" s="8">
        <v>0</v>
      </c>
      <c r="J96" s="8">
        <v>0</v>
      </c>
      <c r="K96" s="29">
        <v>0</v>
      </c>
      <c r="L96" s="8">
        <v>0</v>
      </c>
      <c r="M96" s="133">
        <v>0</v>
      </c>
    </row>
    <row r="97" spans="1:13" outlineLevel="1" x14ac:dyDescent="0.35">
      <c r="A97" s="132" t="s">
        <v>495</v>
      </c>
      <c r="B97" s="102" t="s">
        <v>496</v>
      </c>
      <c r="C97" s="8">
        <v>0</v>
      </c>
      <c r="D97" s="8">
        <v>0</v>
      </c>
      <c r="E97" s="8">
        <v>0</v>
      </c>
      <c r="F97" s="8">
        <v>0</v>
      </c>
      <c r="G97" s="8">
        <v>0</v>
      </c>
      <c r="H97" s="8">
        <v>0</v>
      </c>
      <c r="I97" s="8">
        <v>0</v>
      </c>
      <c r="J97" s="8">
        <v>0</v>
      </c>
      <c r="K97" s="29">
        <v>0</v>
      </c>
      <c r="L97" s="8">
        <v>98.887771100600006</v>
      </c>
      <c r="M97" s="133">
        <v>98.887771100600006</v>
      </c>
    </row>
    <row r="98" spans="1:13" s="31" customFormat="1" outlineLevel="1" x14ac:dyDescent="0.35">
      <c r="A98" s="130" t="s">
        <v>1134</v>
      </c>
      <c r="B98" s="111" t="s">
        <v>527</v>
      </c>
      <c r="C98" s="140">
        <v>0</v>
      </c>
      <c r="D98" s="140">
        <v>0</v>
      </c>
      <c r="E98" s="140">
        <v>0</v>
      </c>
      <c r="F98" s="124">
        <v>-17491</v>
      </c>
      <c r="G98" s="124">
        <v>0</v>
      </c>
      <c r="H98" s="124">
        <v>0</v>
      </c>
      <c r="I98" s="124">
        <v>0</v>
      </c>
      <c r="J98" s="124">
        <v>-71126</v>
      </c>
      <c r="K98" s="124">
        <v>-88617</v>
      </c>
      <c r="L98" s="124">
        <v>-78.112228899399994</v>
      </c>
      <c r="M98" s="131">
        <v>-88695.112228899394</v>
      </c>
    </row>
    <row r="99" spans="1:13" ht="15" outlineLevel="1" thickBot="1" x14ac:dyDescent="0.4">
      <c r="A99" s="135" t="s">
        <v>528</v>
      </c>
      <c r="B99" s="223" t="s">
        <v>529</v>
      </c>
      <c r="C99" s="136">
        <v>18638</v>
      </c>
      <c r="D99" s="136">
        <v>15214</v>
      </c>
      <c r="E99" s="136">
        <v>3475</v>
      </c>
      <c r="F99" s="136">
        <v>-19614</v>
      </c>
      <c r="G99" s="136">
        <v>6</v>
      </c>
      <c r="H99" s="136">
        <v>46005</v>
      </c>
      <c r="I99" s="136">
        <v>2315</v>
      </c>
      <c r="J99" s="136">
        <v>1030942</v>
      </c>
      <c r="K99" s="136">
        <v>1096981</v>
      </c>
      <c r="L99" s="136">
        <v>11517.887771100601</v>
      </c>
      <c r="M99" s="137">
        <v>1108499</v>
      </c>
    </row>
    <row r="100" spans="1:13" ht="15" thickTop="1" x14ac:dyDescent="0.35"/>
    <row r="102" spans="1:13" ht="15" thickBot="1" x14ac:dyDescent="0.4">
      <c r="A102" s="485">
        <v>2023</v>
      </c>
      <c r="B102" s="485"/>
      <c r="C102" s="485"/>
      <c r="D102" s="485"/>
      <c r="E102" s="485"/>
      <c r="F102" s="485"/>
      <c r="G102" s="485"/>
      <c r="H102" s="485"/>
      <c r="I102" s="485"/>
      <c r="J102" s="485"/>
      <c r="K102" s="485"/>
      <c r="L102" s="485"/>
      <c r="M102" s="485"/>
    </row>
    <row r="103" spans="1:13" ht="15.5" thickTop="1" thickBot="1" x14ac:dyDescent="0.4">
      <c r="A103" s="407" t="s">
        <v>510</v>
      </c>
      <c r="B103" s="408"/>
      <c r="C103" s="408"/>
      <c r="D103" s="408"/>
      <c r="E103" s="408"/>
      <c r="F103" s="408"/>
      <c r="G103" s="408"/>
      <c r="H103" s="408"/>
      <c r="I103" s="408"/>
      <c r="J103" s="408"/>
      <c r="K103" s="408"/>
      <c r="L103" s="408"/>
      <c r="M103" s="409"/>
    </row>
    <row r="104" spans="1:13" ht="144" outlineLevel="1" thickTop="1" x14ac:dyDescent="0.35">
      <c r="A104" s="127" t="s">
        <v>62</v>
      </c>
      <c r="B104" s="127" t="s">
        <v>62</v>
      </c>
      <c r="C104" s="128" t="s">
        <v>455</v>
      </c>
      <c r="D104" s="128" t="s">
        <v>456</v>
      </c>
      <c r="E104" s="128" t="s">
        <v>457</v>
      </c>
      <c r="F104" s="128" t="s">
        <v>458</v>
      </c>
      <c r="G104" s="128" t="s">
        <v>459</v>
      </c>
      <c r="H104" s="128" t="s">
        <v>460</v>
      </c>
      <c r="I104" s="128" t="s">
        <v>461</v>
      </c>
      <c r="J104" s="128" t="s">
        <v>462</v>
      </c>
      <c r="K104" s="125" t="s">
        <v>463</v>
      </c>
      <c r="L104" s="128" t="s">
        <v>464</v>
      </c>
      <c r="M104" s="129" t="s">
        <v>465</v>
      </c>
    </row>
    <row r="105" spans="1:13" outlineLevel="1" x14ac:dyDescent="0.35">
      <c r="A105" s="130" t="s">
        <v>1131</v>
      </c>
      <c r="B105" s="111" t="s">
        <v>1132</v>
      </c>
      <c r="C105" s="124">
        <v>18638</v>
      </c>
      <c r="D105" s="124">
        <v>15214</v>
      </c>
      <c r="E105" s="124">
        <v>3475</v>
      </c>
      <c r="F105" s="124">
        <v>-2123</v>
      </c>
      <c r="G105" s="124">
        <v>-339</v>
      </c>
      <c r="H105" s="124">
        <v>47846</v>
      </c>
      <c r="I105" s="124">
        <v>820</v>
      </c>
      <c r="J105" s="124">
        <v>979870</v>
      </c>
      <c r="K105" s="124">
        <v>1063401</v>
      </c>
      <c r="L105" s="124">
        <v>10446</v>
      </c>
      <c r="M105" s="131">
        <v>1073847</v>
      </c>
    </row>
    <row r="106" spans="1:13" s="31" customFormat="1" outlineLevel="1" x14ac:dyDescent="0.35">
      <c r="A106" s="132" t="s">
        <v>197</v>
      </c>
      <c r="B106" s="102" t="s">
        <v>198</v>
      </c>
      <c r="C106" s="8">
        <v>0</v>
      </c>
      <c r="D106" s="8">
        <v>0</v>
      </c>
      <c r="E106" s="8">
        <v>0</v>
      </c>
      <c r="F106" s="8">
        <v>0</v>
      </c>
      <c r="G106" s="8">
        <v>0</v>
      </c>
      <c r="H106" s="8">
        <v>0</v>
      </c>
      <c r="I106" s="8">
        <v>0</v>
      </c>
      <c r="J106" s="8">
        <v>67936</v>
      </c>
      <c r="K106" s="29">
        <v>67936</v>
      </c>
      <c r="L106" s="8">
        <v>1109</v>
      </c>
      <c r="M106" s="133">
        <v>69045</v>
      </c>
    </row>
    <row r="107" spans="1:13" s="31" customFormat="1" outlineLevel="1" x14ac:dyDescent="0.35">
      <c r="A107" s="132" t="s">
        <v>232</v>
      </c>
      <c r="B107" s="102" t="s">
        <v>233</v>
      </c>
      <c r="C107" s="8">
        <v>0</v>
      </c>
      <c r="D107" s="8">
        <v>0</v>
      </c>
      <c r="E107" s="8">
        <v>0</v>
      </c>
      <c r="F107" s="8">
        <v>0</v>
      </c>
      <c r="G107" s="8">
        <v>0</v>
      </c>
      <c r="H107" s="8">
        <v>-3991</v>
      </c>
      <c r="I107" s="8">
        <v>0</v>
      </c>
      <c r="J107" s="8">
        <v>0</v>
      </c>
      <c r="K107" s="29">
        <v>-3991</v>
      </c>
      <c r="L107" s="8">
        <v>-788</v>
      </c>
      <c r="M107" s="133">
        <v>-4779</v>
      </c>
    </row>
    <row r="108" spans="1:13" outlineLevel="1" x14ac:dyDescent="0.35">
      <c r="A108" s="132" t="s">
        <v>234</v>
      </c>
      <c r="B108" s="102" t="s">
        <v>235</v>
      </c>
      <c r="C108" s="8">
        <v>0</v>
      </c>
      <c r="D108" s="8">
        <v>0</v>
      </c>
      <c r="E108" s="8">
        <v>0</v>
      </c>
      <c r="F108" s="8">
        <v>0</v>
      </c>
      <c r="G108" s="8">
        <v>0</v>
      </c>
      <c r="H108" s="8">
        <v>113</v>
      </c>
      <c r="I108" s="8">
        <v>0</v>
      </c>
      <c r="J108" s="8">
        <v>0</v>
      </c>
      <c r="K108" s="29">
        <v>113</v>
      </c>
      <c r="L108" s="8">
        <v>0</v>
      </c>
      <c r="M108" s="133">
        <v>113</v>
      </c>
    </row>
    <row r="109" spans="1:13" outlineLevel="1" x14ac:dyDescent="0.35">
      <c r="A109" s="132" t="s">
        <v>492</v>
      </c>
      <c r="B109" s="102" t="s">
        <v>471</v>
      </c>
      <c r="C109" s="8">
        <v>0</v>
      </c>
      <c r="D109" s="8">
        <v>0</v>
      </c>
      <c r="E109" s="8">
        <v>0</v>
      </c>
      <c r="F109" s="8">
        <v>0</v>
      </c>
      <c r="G109" s="8">
        <v>0</v>
      </c>
      <c r="H109" s="8">
        <v>0</v>
      </c>
      <c r="I109" s="8">
        <v>0</v>
      </c>
      <c r="J109" s="8">
        <v>0</v>
      </c>
      <c r="K109" s="29">
        <v>0</v>
      </c>
      <c r="L109" s="8">
        <v>0</v>
      </c>
      <c r="M109" s="133">
        <v>0</v>
      </c>
    </row>
    <row r="110" spans="1:13" outlineLevel="1" x14ac:dyDescent="0.35">
      <c r="A110" s="132" t="s">
        <v>472</v>
      </c>
      <c r="B110" s="102" t="s">
        <v>473</v>
      </c>
      <c r="C110" s="8">
        <v>0</v>
      </c>
      <c r="D110" s="8">
        <v>0</v>
      </c>
      <c r="E110" s="8">
        <v>0</v>
      </c>
      <c r="F110" s="8">
        <v>0</v>
      </c>
      <c r="G110" s="8">
        <v>-3289</v>
      </c>
      <c r="H110" s="8">
        <v>0</v>
      </c>
      <c r="I110" s="8">
        <v>0</v>
      </c>
      <c r="J110" s="8">
        <v>0</v>
      </c>
      <c r="K110" s="29">
        <v>-3289</v>
      </c>
      <c r="L110" s="8">
        <v>0</v>
      </c>
      <c r="M110" s="133">
        <v>-3289</v>
      </c>
    </row>
    <row r="111" spans="1:13" outlineLevel="1" x14ac:dyDescent="0.35">
      <c r="A111" s="132" t="s">
        <v>474</v>
      </c>
      <c r="B111" s="102" t="s">
        <v>475</v>
      </c>
      <c r="C111" s="8">
        <v>0</v>
      </c>
      <c r="D111" s="8">
        <v>0</v>
      </c>
      <c r="E111" s="8">
        <v>0</v>
      </c>
      <c r="F111" s="8">
        <v>0</v>
      </c>
      <c r="G111" s="8">
        <v>0</v>
      </c>
      <c r="H111" s="8">
        <v>0</v>
      </c>
      <c r="I111" s="8">
        <v>0</v>
      </c>
      <c r="J111" s="8">
        <v>0</v>
      </c>
      <c r="K111" s="29">
        <v>0</v>
      </c>
      <c r="L111" s="8">
        <v>0</v>
      </c>
      <c r="M111" s="133">
        <v>0</v>
      </c>
    </row>
    <row r="112" spans="1:13" s="126" customFormat="1" ht="13.5" outlineLevel="1" x14ac:dyDescent="0.3">
      <c r="A112" s="132" t="s">
        <v>236</v>
      </c>
      <c r="B112" s="102" t="s">
        <v>237</v>
      </c>
      <c r="C112" s="8">
        <v>0</v>
      </c>
      <c r="D112" s="8">
        <v>0</v>
      </c>
      <c r="E112" s="8">
        <v>0</v>
      </c>
      <c r="F112" s="8">
        <v>0</v>
      </c>
      <c r="G112" s="8">
        <v>0</v>
      </c>
      <c r="H112" s="8">
        <v>0</v>
      </c>
      <c r="I112" s="8">
        <v>14217</v>
      </c>
      <c r="J112" s="8">
        <v>0</v>
      </c>
      <c r="K112" s="29">
        <v>14217</v>
      </c>
      <c r="L112" s="8">
        <v>0</v>
      </c>
      <c r="M112" s="133">
        <v>14217</v>
      </c>
    </row>
    <row r="113" spans="1:13" s="31" customFormat="1" outlineLevel="1" x14ac:dyDescent="0.35">
      <c r="A113" s="132" t="s">
        <v>238</v>
      </c>
      <c r="B113" s="102" t="s">
        <v>239</v>
      </c>
      <c r="C113" s="8">
        <v>0</v>
      </c>
      <c r="D113" s="8">
        <v>0</v>
      </c>
      <c r="E113" s="8">
        <v>0</v>
      </c>
      <c r="F113" s="8">
        <v>0</v>
      </c>
      <c r="G113" s="8">
        <v>0</v>
      </c>
      <c r="H113" s="8">
        <v>0</v>
      </c>
      <c r="I113" s="8">
        <v>-6353</v>
      </c>
      <c r="J113" s="8">
        <v>0</v>
      </c>
      <c r="K113" s="29">
        <v>-6353</v>
      </c>
      <c r="L113" s="8">
        <v>0</v>
      </c>
      <c r="M113" s="133">
        <v>-6353</v>
      </c>
    </row>
    <row r="114" spans="1:13" outlineLevel="1" x14ac:dyDescent="0.35">
      <c r="A114" s="130" t="s">
        <v>516</v>
      </c>
      <c r="B114" s="111" t="s">
        <v>517</v>
      </c>
      <c r="C114" s="124">
        <v>0</v>
      </c>
      <c r="D114" s="124">
        <v>0</v>
      </c>
      <c r="E114" s="124">
        <v>0</v>
      </c>
      <c r="F114" s="124">
        <v>0</v>
      </c>
      <c r="G114" s="124">
        <v>-3289</v>
      </c>
      <c r="H114" s="124">
        <v>-3878</v>
      </c>
      <c r="I114" s="124">
        <v>7864</v>
      </c>
      <c r="J114" s="124">
        <v>67936</v>
      </c>
      <c r="K114" s="124">
        <v>68633</v>
      </c>
      <c r="L114" s="124">
        <v>321</v>
      </c>
      <c r="M114" s="131">
        <v>68954</v>
      </c>
    </row>
    <row r="115" spans="1:13" outlineLevel="1" x14ac:dyDescent="0.35">
      <c r="A115" s="132" t="s">
        <v>1122</v>
      </c>
      <c r="B115" s="102" t="s">
        <v>478</v>
      </c>
      <c r="C115" s="8">
        <v>0</v>
      </c>
      <c r="D115" s="8">
        <v>0</v>
      </c>
      <c r="E115" s="8">
        <v>0</v>
      </c>
      <c r="F115" s="8">
        <v>-7849</v>
      </c>
      <c r="G115" s="8">
        <v>0</v>
      </c>
      <c r="H115" s="8">
        <v>0</v>
      </c>
      <c r="I115" s="8">
        <v>0</v>
      </c>
      <c r="J115" s="8">
        <v>0</v>
      </c>
      <c r="K115" s="29">
        <v>-7849</v>
      </c>
      <c r="L115" s="8">
        <v>0</v>
      </c>
      <c r="M115" s="133">
        <v>-7849</v>
      </c>
    </row>
    <row r="116" spans="1:13" outlineLevel="1" x14ac:dyDescent="0.35">
      <c r="A116" s="132" t="s">
        <v>1123</v>
      </c>
      <c r="B116" s="102" t="s">
        <v>479</v>
      </c>
      <c r="C116" s="8">
        <v>0</v>
      </c>
      <c r="D116" s="8">
        <v>0</v>
      </c>
      <c r="E116" s="8">
        <v>0</v>
      </c>
      <c r="F116" s="8">
        <v>-49</v>
      </c>
      <c r="G116" s="8">
        <v>0</v>
      </c>
      <c r="H116" s="8">
        <v>0</v>
      </c>
      <c r="I116" s="8">
        <v>0</v>
      </c>
      <c r="J116" s="8">
        <v>49</v>
      </c>
      <c r="K116" s="29">
        <v>0</v>
      </c>
      <c r="L116" s="8">
        <v>0</v>
      </c>
      <c r="M116" s="133">
        <v>0</v>
      </c>
    </row>
    <row r="117" spans="1:13" outlineLevel="1" x14ac:dyDescent="0.35">
      <c r="A117" s="132" t="s">
        <v>480</v>
      </c>
      <c r="B117" s="102" t="s">
        <v>481</v>
      </c>
      <c r="C117" s="8">
        <v>0</v>
      </c>
      <c r="D117" s="8">
        <v>0</v>
      </c>
      <c r="E117" s="8">
        <v>0</v>
      </c>
      <c r="F117" s="8">
        <v>0</v>
      </c>
      <c r="G117" s="8">
        <v>0</v>
      </c>
      <c r="H117" s="8">
        <v>0</v>
      </c>
      <c r="I117" s="8">
        <v>0</v>
      </c>
      <c r="J117" s="8">
        <v>944</v>
      </c>
      <c r="K117" s="29">
        <v>944</v>
      </c>
      <c r="L117" s="8">
        <v>0</v>
      </c>
      <c r="M117" s="133">
        <v>944</v>
      </c>
    </row>
    <row r="118" spans="1:13" outlineLevel="1" x14ac:dyDescent="0.35">
      <c r="A118" s="132" t="s">
        <v>493</v>
      </c>
      <c r="B118" s="102" t="s">
        <v>494</v>
      </c>
      <c r="C118" s="8">
        <v>0</v>
      </c>
      <c r="D118" s="8">
        <v>0</v>
      </c>
      <c r="E118" s="8">
        <v>0</v>
      </c>
      <c r="F118" s="8">
        <v>0</v>
      </c>
      <c r="G118" s="8">
        <v>0</v>
      </c>
      <c r="H118" s="8">
        <v>0</v>
      </c>
      <c r="I118" s="8">
        <v>0</v>
      </c>
      <c r="J118" s="8">
        <v>-72686</v>
      </c>
      <c r="K118" s="29">
        <v>-72686</v>
      </c>
      <c r="L118" s="8">
        <v>0</v>
      </c>
      <c r="M118" s="133">
        <v>-72686</v>
      </c>
    </row>
    <row r="119" spans="1:13" outlineLevel="1" x14ac:dyDescent="0.35">
      <c r="A119" s="132" t="s">
        <v>484</v>
      </c>
      <c r="B119" s="102" t="s">
        <v>485</v>
      </c>
      <c r="C119" s="8">
        <v>0</v>
      </c>
      <c r="D119" s="8">
        <v>0</v>
      </c>
      <c r="E119" s="8">
        <v>0</v>
      </c>
      <c r="F119" s="8">
        <v>0</v>
      </c>
      <c r="G119" s="8">
        <v>0</v>
      </c>
      <c r="H119" s="8">
        <v>0</v>
      </c>
      <c r="I119" s="8">
        <v>0</v>
      </c>
      <c r="J119" s="8">
        <v>0</v>
      </c>
      <c r="K119" s="29">
        <v>0</v>
      </c>
      <c r="L119" s="8">
        <v>-91</v>
      </c>
      <c r="M119" s="133">
        <v>-91</v>
      </c>
    </row>
    <row r="120" spans="1:13" outlineLevel="1" x14ac:dyDescent="0.35">
      <c r="A120" s="132" t="s">
        <v>1126</v>
      </c>
      <c r="B120" s="102" t="s">
        <v>1127</v>
      </c>
      <c r="C120" s="8">
        <v>0</v>
      </c>
      <c r="D120" s="8">
        <v>0</v>
      </c>
      <c r="E120" s="8">
        <v>0</v>
      </c>
      <c r="F120" s="8">
        <v>0</v>
      </c>
      <c r="G120" s="8">
        <v>0</v>
      </c>
      <c r="H120" s="8">
        <v>0</v>
      </c>
      <c r="I120" s="8">
        <v>0</v>
      </c>
      <c r="J120" s="8">
        <v>0</v>
      </c>
      <c r="K120" s="29">
        <v>0</v>
      </c>
      <c r="L120" s="8">
        <v>0</v>
      </c>
      <c r="M120" s="133">
        <v>0</v>
      </c>
    </row>
    <row r="121" spans="1:13" outlineLevel="1" x14ac:dyDescent="0.35">
      <c r="A121" s="132" t="s">
        <v>1128</v>
      </c>
      <c r="B121" s="102" t="s">
        <v>1129</v>
      </c>
      <c r="C121" s="8">
        <v>0</v>
      </c>
      <c r="D121" s="8">
        <v>0</v>
      </c>
      <c r="E121" s="8">
        <v>0</v>
      </c>
      <c r="F121" s="8">
        <v>0</v>
      </c>
      <c r="G121" s="8">
        <v>0</v>
      </c>
      <c r="H121" s="8">
        <v>0</v>
      </c>
      <c r="I121" s="8">
        <v>0</v>
      </c>
      <c r="J121" s="8">
        <v>0</v>
      </c>
      <c r="K121" s="29">
        <v>0</v>
      </c>
      <c r="L121" s="8">
        <v>0</v>
      </c>
      <c r="M121" s="133">
        <v>0</v>
      </c>
    </row>
    <row r="122" spans="1:13" s="31" customFormat="1" outlineLevel="1" x14ac:dyDescent="0.35">
      <c r="A122" s="132" t="s">
        <v>495</v>
      </c>
      <c r="B122" s="102" t="s">
        <v>496</v>
      </c>
      <c r="C122" s="8">
        <v>0</v>
      </c>
      <c r="D122" s="8">
        <v>0</v>
      </c>
      <c r="E122" s="8">
        <v>0</v>
      </c>
      <c r="F122" s="8">
        <v>0</v>
      </c>
      <c r="G122" s="8">
        <v>0</v>
      </c>
      <c r="H122" s="8">
        <v>0</v>
      </c>
      <c r="I122" s="8">
        <v>0</v>
      </c>
      <c r="J122" s="8">
        <v>0</v>
      </c>
      <c r="K122" s="29">
        <v>0</v>
      </c>
      <c r="L122" s="8">
        <v>98.887771100600006</v>
      </c>
      <c r="M122" s="133">
        <v>98.887771100600006</v>
      </c>
    </row>
    <row r="123" spans="1:13" s="31" customFormat="1" outlineLevel="1" x14ac:dyDescent="0.35">
      <c r="A123" s="130" t="s">
        <v>1135</v>
      </c>
      <c r="B123" s="111" t="s">
        <v>518</v>
      </c>
      <c r="C123" s="124">
        <v>0</v>
      </c>
      <c r="D123" s="124">
        <v>0</v>
      </c>
      <c r="E123" s="124">
        <v>0</v>
      </c>
      <c r="F123" s="124">
        <v>-7898</v>
      </c>
      <c r="G123" s="124">
        <v>0</v>
      </c>
      <c r="H123" s="124">
        <v>0</v>
      </c>
      <c r="I123" s="124">
        <v>0</v>
      </c>
      <c r="J123" s="124">
        <v>-71693</v>
      </c>
      <c r="K123" s="124">
        <v>-79591</v>
      </c>
      <c r="L123" s="124">
        <v>7.8877711006000055</v>
      </c>
      <c r="M123" s="131">
        <v>-79583.112228899394</v>
      </c>
    </row>
    <row r="124" spans="1:13" s="31" customFormat="1" ht="15" outlineLevel="1" thickBot="1" x14ac:dyDescent="0.4">
      <c r="A124" s="135" t="s">
        <v>519</v>
      </c>
      <c r="B124" s="223" t="s">
        <v>520</v>
      </c>
      <c r="C124" s="136">
        <v>18638</v>
      </c>
      <c r="D124" s="136">
        <v>15214</v>
      </c>
      <c r="E124" s="136">
        <v>3475</v>
      </c>
      <c r="F124" s="136">
        <v>-10021</v>
      </c>
      <c r="G124" s="136">
        <v>-3628</v>
      </c>
      <c r="H124" s="136">
        <v>43968</v>
      </c>
      <c r="I124" s="136">
        <v>8684</v>
      </c>
      <c r="J124" s="136">
        <v>976113</v>
      </c>
      <c r="K124" s="136">
        <v>1052443</v>
      </c>
      <c r="L124" s="136">
        <v>10774.887771100601</v>
      </c>
      <c r="M124" s="137">
        <v>1063218</v>
      </c>
    </row>
    <row r="125" spans="1:13" s="31" customFormat="1" ht="15" thickTop="1" x14ac:dyDescent="0.35">
      <c r="A125"/>
      <c r="B125"/>
      <c r="C125"/>
      <c r="D125"/>
      <c r="E125"/>
      <c r="F125"/>
      <c r="G125"/>
      <c r="H125"/>
      <c r="I125"/>
      <c r="J125"/>
      <c r="K125"/>
      <c r="L125"/>
      <c r="M125"/>
    </row>
    <row r="126" spans="1:13" s="31" customFormat="1" x14ac:dyDescent="0.35">
      <c r="A126"/>
      <c r="B126"/>
      <c r="C126"/>
      <c r="D126"/>
      <c r="E126"/>
      <c r="F126"/>
      <c r="G126"/>
      <c r="H126"/>
      <c r="I126"/>
      <c r="J126"/>
      <c r="K126"/>
      <c r="L126"/>
      <c r="M126"/>
    </row>
    <row r="127" spans="1:13" s="31" customFormat="1" ht="15" thickBot="1" x14ac:dyDescent="0.4">
      <c r="A127" s="485">
        <v>2023</v>
      </c>
      <c r="B127" s="485"/>
      <c r="C127" s="485"/>
      <c r="D127" s="485"/>
      <c r="E127" s="485"/>
      <c r="F127" s="485"/>
      <c r="G127" s="485"/>
      <c r="H127" s="485"/>
      <c r="I127" s="485"/>
      <c r="J127" s="485"/>
      <c r="K127" s="485"/>
      <c r="L127" s="485"/>
      <c r="M127" s="485"/>
    </row>
    <row r="128" spans="1:13" ht="15.5" thickTop="1" thickBot="1" x14ac:dyDescent="0.4">
      <c r="A128" s="440" t="s">
        <v>499</v>
      </c>
      <c r="B128" s="441"/>
      <c r="C128" s="441"/>
      <c r="D128" s="441"/>
      <c r="E128" s="441"/>
      <c r="F128" s="441"/>
      <c r="G128" s="441"/>
      <c r="H128" s="441"/>
      <c r="I128" s="441"/>
      <c r="J128" s="441"/>
      <c r="K128" s="441"/>
      <c r="L128" s="441"/>
      <c r="M128" s="442"/>
    </row>
    <row r="129" spans="1:13" ht="144" outlineLevel="1" thickTop="1" x14ac:dyDescent="0.35">
      <c r="A129" s="127" t="s">
        <v>62</v>
      </c>
      <c r="B129" s="127" t="s">
        <v>62</v>
      </c>
      <c r="C129" s="128" t="s">
        <v>455</v>
      </c>
      <c r="D129" s="128" t="s">
        <v>456</v>
      </c>
      <c r="E129" s="128" t="s">
        <v>457</v>
      </c>
      <c r="F129" s="128" t="s">
        <v>458</v>
      </c>
      <c r="G129" s="128" t="s">
        <v>459</v>
      </c>
      <c r="H129" s="128" t="s">
        <v>460</v>
      </c>
      <c r="I129" s="128" t="s">
        <v>461</v>
      </c>
      <c r="J129" s="128" t="s">
        <v>462</v>
      </c>
      <c r="K129" s="125" t="s">
        <v>463</v>
      </c>
      <c r="L129" s="128" t="s">
        <v>464</v>
      </c>
      <c r="M129" s="129" t="s">
        <v>465</v>
      </c>
    </row>
    <row r="130" spans="1:13" outlineLevel="1" x14ac:dyDescent="0.35">
      <c r="A130" s="130" t="s">
        <v>1131</v>
      </c>
      <c r="B130" s="111" t="s">
        <v>1132</v>
      </c>
      <c r="C130" s="124">
        <v>18638</v>
      </c>
      <c r="D130" s="124">
        <v>15214</v>
      </c>
      <c r="E130" s="124">
        <v>3475</v>
      </c>
      <c r="F130" s="124">
        <v>-2123</v>
      </c>
      <c r="G130" s="124">
        <v>-339</v>
      </c>
      <c r="H130" s="124">
        <v>47846</v>
      </c>
      <c r="I130" s="124">
        <v>820</v>
      </c>
      <c r="J130" s="124">
        <v>979870</v>
      </c>
      <c r="K130" s="124">
        <v>1063401</v>
      </c>
      <c r="L130" s="124">
        <v>10446</v>
      </c>
      <c r="M130" s="131">
        <v>1073847</v>
      </c>
    </row>
    <row r="131" spans="1:13" s="31" customFormat="1" outlineLevel="1" x14ac:dyDescent="0.35">
      <c r="A131" s="132" t="s">
        <v>197</v>
      </c>
      <c r="B131" s="102" t="s">
        <v>198</v>
      </c>
      <c r="C131" s="8">
        <v>0</v>
      </c>
      <c r="D131" s="8">
        <v>0</v>
      </c>
      <c r="E131" s="8">
        <v>0</v>
      </c>
      <c r="F131" s="8">
        <v>0</v>
      </c>
      <c r="G131" s="8">
        <v>0</v>
      </c>
      <c r="H131" s="8">
        <v>0</v>
      </c>
      <c r="I131" s="8">
        <v>0</v>
      </c>
      <c r="J131" s="8">
        <v>39193</v>
      </c>
      <c r="K131" s="29">
        <v>39193</v>
      </c>
      <c r="L131" s="8">
        <v>-157</v>
      </c>
      <c r="M131" s="133">
        <v>39036</v>
      </c>
    </row>
    <row r="132" spans="1:13" s="31" customFormat="1" outlineLevel="1" x14ac:dyDescent="0.35">
      <c r="A132" s="132" t="s">
        <v>232</v>
      </c>
      <c r="B132" s="102" t="s">
        <v>233</v>
      </c>
      <c r="C132" s="8">
        <v>0</v>
      </c>
      <c r="D132" s="8">
        <v>0</v>
      </c>
      <c r="E132" s="8">
        <v>0</v>
      </c>
      <c r="F132" s="8">
        <v>0</v>
      </c>
      <c r="G132" s="8">
        <v>0</v>
      </c>
      <c r="H132" s="8">
        <v>-3561</v>
      </c>
      <c r="I132" s="8">
        <v>0</v>
      </c>
      <c r="J132" s="8">
        <v>0</v>
      </c>
      <c r="K132" s="29">
        <v>-3561</v>
      </c>
      <c r="L132" s="8">
        <v>-579</v>
      </c>
      <c r="M132" s="133">
        <v>-4140</v>
      </c>
    </row>
    <row r="133" spans="1:13" outlineLevel="1" x14ac:dyDescent="0.35">
      <c r="A133" s="132" t="s">
        <v>234</v>
      </c>
      <c r="B133" s="102" t="s">
        <v>235</v>
      </c>
      <c r="C133" s="8">
        <v>0</v>
      </c>
      <c r="D133" s="8">
        <v>0</v>
      </c>
      <c r="E133" s="8">
        <v>0</v>
      </c>
      <c r="F133" s="8">
        <v>0</v>
      </c>
      <c r="G133" s="8">
        <v>0</v>
      </c>
      <c r="H133" s="8">
        <v>207</v>
      </c>
      <c r="I133" s="8">
        <v>0</v>
      </c>
      <c r="J133" s="8">
        <v>0</v>
      </c>
      <c r="K133" s="29">
        <v>207</v>
      </c>
      <c r="L133" s="8">
        <v>0</v>
      </c>
      <c r="M133" s="133">
        <v>207</v>
      </c>
    </row>
    <row r="134" spans="1:13" outlineLevel="1" x14ac:dyDescent="0.35">
      <c r="A134" s="132" t="s">
        <v>492</v>
      </c>
      <c r="B134" s="102" t="s">
        <v>471</v>
      </c>
      <c r="C134" s="8">
        <v>0</v>
      </c>
      <c r="D134" s="8">
        <v>0</v>
      </c>
      <c r="E134" s="8">
        <v>0</v>
      </c>
      <c r="F134" s="8">
        <v>0</v>
      </c>
      <c r="G134" s="8">
        <v>0</v>
      </c>
      <c r="H134" s="8">
        <v>0</v>
      </c>
      <c r="I134" s="8">
        <v>0</v>
      </c>
      <c r="J134" s="8">
        <v>0</v>
      </c>
      <c r="K134" s="29">
        <v>0</v>
      </c>
      <c r="L134" s="8">
        <v>0</v>
      </c>
      <c r="M134" s="133">
        <v>0</v>
      </c>
    </row>
    <row r="135" spans="1:13" outlineLevel="1" x14ac:dyDescent="0.35">
      <c r="A135" s="132" t="s">
        <v>472</v>
      </c>
      <c r="B135" s="102" t="s">
        <v>473</v>
      </c>
      <c r="C135" s="8">
        <v>0</v>
      </c>
      <c r="D135" s="8">
        <v>0</v>
      </c>
      <c r="E135" s="8">
        <v>0</v>
      </c>
      <c r="F135" s="8">
        <v>0</v>
      </c>
      <c r="G135" s="8">
        <v>-3035</v>
      </c>
      <c r="H135" s="8">
        <v>0</v>
      </c>
      <c r="I135" s="8">
        <v>0</v>
      </c>
      <c r="J135" s="8">
        <v>0</v>
      </c>
      <c r="K135" s="29">
        <v>-3035</v>
      </c>
      <c r="L135" s="8">
        <v>0</v>
      </c>
      <c r="M135" s="133">
        <v>-3035</v>
      </c>
    </row>
    <row r="136" spans="1:13" outlineLevel="1" x14ac:dyDescent="0.35">
      <c r="A136" s="132" t="s">
        <v>474</v>
      </c>
      <c r="B136" s="102" t="s">
        <v>475</v>
      </c>
      <c r="C136" s="8">
        <v>0</v>
      </c>
      <c r="D136" s="8">
        <v>0</v>
      </c>
      <c r="E136" s="8">
        <v>0</v>
      </c>
      <c r="F136" s="8">
        <v>0</v>
      </c>
      <c r="G136" s="8">
        <v>0</v>
      </c>
      <c r="H136" s="8">
        <v>0</v>
      </c>
      <c r="I136" s="8">
        <v>0</v>
      </c>
      <c r="J136" s="8">
        <v>0</v>
      </c>
      <c r="K136" s="29">
        <v>0</v>
      </c>
      <c r="L136" s="8">
        <v>0</v>
      </c>
      <c r="M136" s="133">
        <v>0</v>
      </c>
    </row>
    <row r="137" spans="1:13" outlineLevel="1" x14ac:dyDescent="0.35">
      <c r="A137" s="132" t="s">
        <v>236</v>
      </c>
      <c r="B137" s="102" t="s">
        <v>237</v>
      </c>
      <c r="C137" s="8">
        <v>0</v>
      </c>
      <c r="D137" s="8">
        <v>0</v>
      </c>
      <c r="E137" s="8">
        <v>0</v>
      </c>
      <c r="F137" s="8">
        <v>0</v>
      </c>
      <c r="G137" s="8">
        <v>0</v>
      </c>
      <c r="H137" s="8">
        <v>0</v>
      </c>
      <c r="I137" s="8">
        <v>7290</v>
      </c>
      <c r="J137" s="8">
        <v>0</v>
      </c>
      <c r="K137" s="29">
        <v>7290</v>
      </c>
      <c r="L137" s="8">
        <v>0</v>
      </c>
      <c r="M137" s="133">
        <v>7290</v>
      </c>
    </row>
    <row r="138" spans="1:13" s="126" customFormat="1" ht="13.5" outlineLevel="1" x14ac:dyDescent="0.3">
      <c r="A138" s="132" t="s">
        <v>238</v>
      </c>
      <c r="B138" s="102" t="s">
        <v>239</v>
      </c>
      <c r="C138" s="8">
        <v>0</v>
      </c>
      <c r="D138" s="8">
        <v>0</v>
      </c>
      <c r="E138" s="8">
        <v>0</v>
      </c>
      <c r="F138" s="8">
        <v>0</v>
      </c>
      <c r="G138" s="8">
        <v>0</v>
      </c>
      <c r="H138" s="8">
        <v>0</v>
      </c>
      <c r="I138" s="8">
        <v>-1380</v>
      </c>
      <c r="J138" s="8">
        <v>0</v>
      </c>
      <c r="K138" s="29">
        <v>-1380</v>
      </c>
      <c r="L138" s="8">
        <v>0</v>
      </c>
      <c r="M138" s="133">
        <v>-1380</v>
      </c>
    </row>
    <row r="139" spans="1:13" s="31" customFormat="1" outlineLevel="1" x14ac:dyDescent="0.35">
      <c r="A139" s="130" t="s">
        <v>506</v>
      </c>
      <c r="B139" s="111" t="s">
        <v>1136</v>
      </c>
      <c r="C139" s="124">
        <v>0</v>
      </c>
      <c r="D139" s="124">
        <v>0</v>
      </c>
      <c r="E139" s="124">
        <v>0</v>
      </c>
      <c r="F139" s="124">
        <v>0</v>
      </c>
      <c r="G139" s="124">
        <v>-3035</v>
      </c>
      <c r="H139" s="124">
        <v>-3354</v>
      </c>
      <c r="I139" s="124">
        <v>5910</v>
      </c>
      <c r="J139" s="124">
        <v>39193</v>
      </c>
      <c r="K139" s="124">
        <v>38714</v>
      </c>
      <c r="L139" s="124">
        <v>-736</v>
      </c>
      <c r="M139" s="131">
        <v>37978</v>
      </c>
    </row>
    <row r="140" spans="1:13" outlineLevel="1" x14ac:dyDescent="0.35">
      <c r="A140" s="132" t="s">
        <v>1122</v>
      </c>
      <c r="B140" s="102" t="s">
        <v>478</v>
      </c>
      <c r="C140" s="8">
        <v>0</v>
      </c>
      <c r="D140" s="8">
        <v>0</v>
      </c>
      <c r="E140" s="8">
        <v>0</v>
      </c>
      <c r="F140" s="8">
        <v>-628</v>
      </c>
      <c r="G140" s="29">
        <v>0</v>
      </c>
      <c r="H140" s="8">
        <v>0</v>
      </c>
      <c r="I140" s="8">
        <v>0</v>
      </c>
      <c r="J140" s="8">
        <v>0</v>
      </c>
      <c r="K140" s="29">
        <v>-628</v>
      </c>
      <c r="L140" s="8">
        <v>0</v>
      </c>
      <c r="M140" s="133">
        <v>-628</v>
      </c>
    </row>
    <row r="141" spans="1:13" outlineLevel="1" x14ac:dyDescent="0.35">
      <c r="A141" s="132" t="s">
        <v>1123</v>
      </c>
      <c r="B141" s="102" t="s">
        <v>479</v>
      </c>
      <c r="C141" s="8">
        <v>0</v>
      </c>
      <c r="D141" s="8">
        <v>0</v>
      </c>
      <c r="E141" s="8">
        <v>0</v>
      </c>
      <c r="F141" s="8">
        <v>-40</v>
      </c>
      <c r="G141" s="29">
        <v>0</v>
      </c>
      <c r="H141" s="8">
        <v>0</v>
      </c>
      <c r="I141" s="8">
        <v>0</v>
      </c>
      <c r="J141" s="8">
        <v>40</v>
      </c>
      <c r="K141" s="29">
        <v>0</v>
      </c>
      <c r="L141" s="8">
        <v>0</v>
      </c>
      <c r="M141" s="133">
        <v>0</v>
      </c>
    </row>
    <row r="142" spans="1:13" outlineLevel="1" x14ac:dyDescent="0.35">
      <c r="A142" s="132" t="s">
        <v>480</v>
      </c>
      <c r="B142" s="102" t="s">
        <v>481</v>
      </c>
      <c r="C142" s="8">
        <v>0</v>
      </c>
      <c r="D142" s="8">
        <v>0</v>
      </c>
      <c r="E142" s="8">
        <v>0</v>
      </c>
      <c r="F142" s="8">
        <v>0</v>
      </c>
      <c r="G142" s="29">
        <v>0</v>
      </c>
      <c r="H142" s="8">
        <v>0</v>
      </c>
      <c r="I142" s="8">
        <v>0</v>
      </c>
      <c r="J142" s="8">
        <v>463</v>
      </c>
      <c r="K142" s="29">
        <v>463</v>
      </c>
      <c r="L142" s="8">
        <v>0</v>
      </c>
      <c r="M142" s="133">
        <v>463</v>
      </c>
    </row>
    <row r="143" spans="1:13" outlineLevel="1" x14ac:dyDescent="0.35">
      <c r="A143" s="132" t="s">
        <v>493</v>
      </c>
      <c r="B143" s="102" t="s">
        <v>494</v>
      </c>
      <c r="C143" s="8">
        <v>0</v>
      </c>
      <c r="D143" s="8">
        <v>0</v>
      </c>
      <c r="E143" s="8">
        <v>0</v>
      </c>
      <c r="F143" s="8">
        <v>0</v>
      </c>
      <c r="G143" s="29">
        <v>0</v>
      </c>
      <c r="H143" s="8">
        <v>0</v>
      </c>
      <c r="I143" s="8">
        <v>0</v>
      </c>
      <c r="J143" s="8">
        <v>0</v>
      </c>
      <c r="K143" s="29">
        <v>0</v>
      </c>
      <c r="L143" s="8">
        <v>0</v>
      </c>
      <c r="M143" s="133">
        <v>0</v>
      </c>
    </row>
    <row r="144" spans="1:13" outlineLevel="1" x14ac:dyDescent="0.35">
      <c r="A144" s="132" t="s">
        <v>484</v>
      </c>
      <c r="B144" s="102" t="s">
        <v>485</v>
      </c>
      <c r="C144" s="8">
        <v>0</v>
      </c>
      <c r="D144" s="8">
        <v>0</v>
      </c>
      <c r="E144" s="8">
        <v>0</v>
      </c>
      <c r="F144" s="8">
        <v>0</v>
      </c>
      <c r="G144" s="29">
        <v>0</v>
      </c>
      <c r="H144" s="8">
        <v>0</v>
      </c>
      <c r="I144" s="8">
        <v>0</v>
      </c>
      <c r="J144" s="8">
        <v>0</v>
      </c>
      <c r="K144" s="29">
        <v>0</v>
      </c>
      <c r="L144" s="8">
        <v>0</v>
      </c>
      <c r="M144" s="133">
        <v>0</v>
      </c>
    </row>
    <row r="145" spans="1:13" outlineLevel="1" x14ac:dyDescent="0.35">
      <c r="A145" s="132" t="s">
        <v>1126</v>
      </c>
      <c r="B145" s="102" t="s">
        <v>1127</v>
      </c>
      <c r="C145" s="8">
        <v>0</v>
      </c>
      <c r="D145" s="8">
        <v>0</v>
      </c>
      <c r="E145" s="8">
        <v>0</v>
      </c>
      <c r="F145" s="8">
        <v>0</v>
      </c>
      <c r="G145" s="8">
        <v>0</v>
      </c>
      <c r="H145" s="8">
        <v>0</v>
      </c>
      <c r="I145" s="8">
        <v>0</v>
      </c>
      <c r="J145" s="8">
        <v>0</v>
      </c>
      <c r="K145" s="29">
        <v>0</v>
      </c>
      <c r="L145" s="8">
        <v>0</v>
      </c>
      <c r="M145" s="133">
        <v>0</v>
      </c>
    </row>
    <row r="146" spans="1:13" outlineLevel="1" x14ac:dyDescent="0.35">
      <c r="A146" s="132" t="s">
        <v>1128</v>
      </c>
      <c r="B146" s="102" t="s">
        <v>1129</v>
      </c>
      <c r="C146" s="8">
        <v>0</v>
      </c>
      <c r="D146" s="8">
        <v>0</v>
      </c>
      <c r="E146" s="8">
        <v>0</v>
      </c>
      <c r="F146" s="8">
        <v>0</v>
      </c>
      <c r="G146" s="8">
        <v>0</v>
      </c>
      <c r="H146" s="8">
        <v>0</v>
      </c>
      <c r="I146" s="8">
        <v>0</v>
      </c>
      <c r="J146" s="8">
        <v>0</v>
      </c>
      <c r="K146" s="29">
        <v>0</v>
      </c>
      <c r="L146" s="8">
        <v>0</v>
      </c>
      <c r="M146" s="133">
        <v>0</v>
      </c>
    </row>
    <row r="147" spans="1:13" outlineLevel="1" x14ac:dyDescent="0.35">
      <c r="A147" s="132" t="s">
        <v>549</v>
      </c>
      <c r="B147" s="102" t="s">
        <v>550</v>
      </c>
      <c r="C147" s="8">
        <v>0</v>
      </c>
      <c r="D147" s="8">
        <v>0</v>
      </c>
      <c r="E147" s="8">
        <v>0</v>
      </c>
      <c r="F147" s="8">
        <v>0</v>
      </c>
      <c r="G147" s="8">
        <v>0</v>
      </c>
      <c r="H147" s="8">
        <v>0</v>
      </c>
      <c r="I147" s="8">
        <v>0</v>
      </c>
      <c r="J147" s="8">
        <v>0</v>
      </c>
      <c r="K147" s="29">
        <v>0</v>
      </c>
      <c r="L147" s="8">
        <v>0</v>
      </c>
      <c r="M147" s="133">
        <v>0</v>
      </c>
    </row>
    <row r="148" spans="1:13" s="31" customFormat="1" outlineLevel="1" x14ac:dyDescent="0.35">
      <c r="A148" s="130" t="s">
        <v>1137</v>
      </c>
      <c r="B148" s="111" t="s">
        <v>507</v>
      </c>
      <c r="C148" s="124">
        <v>0</v>
      </c>
      <c r="D148" s="124">
        <v>0</v>
      </c>
      <c r="E148" s="124">
        <v>0</v>
      </c>
      <c r="F148" s="124">
        <v>-668</v>
      </c>
      <c r="G148" s="124">
        <v>0</v>
      </c>
      <c r="H148" s="124">
        <v>0</v>
      </c>
      <c r="I148" s="124">
        <v>0</v>
      </c>
      <c r="J148" s="124">
        <v>503</v>
      </c>
      <c r="K148" s="124">
        <v>-165</v>
      </c>
      <c r="L148" s="124">
        <v>0</v>
      </c>
      <c r="M148" s="131">
        <v>-165</v>
      </c>
    </row>
    <row r="149" spans="1:13" ht="15" outlineLevel="1" thickBot="1" x14ac:dyDescent="0.4">
      <c r="A149" s="135" t="s">
        <v>508</v>
      </c>
      <c r="B149" s="223" t="s">
        <v>509</v>
      </c>
      <c r="C149" s="136">
        <v>18638</v>
      </c>
      <c r="D149" s="136">
        <v>15214</v>
      </c>
      <c r="E149" s="136">
        <v>3475</v>
      </c>
      <c r="F149" s="136">
        <v>-2791</v>
      </c>
      <c r="G149" s="136">
        <v>-3374</v>
      </c>
      <c r="H149" s="136">
        <v>44492</v>
      </c>
      <c r="I149" s="136">
        <v>6730</v>
      </c>
      <c r="J149" s="136">
        <v>1019566</v>
      </c>
      <c r="K149" s="136">
        <v>1101950</v>
      </c>
      <c r="L149" s="136">
        <v>9710</v>
      </c>
      <c r="M149" s="137">
        <v>1111660</v>
      </c>
    </row>
    <row r="150" spans="1:13" ht="15" thickTop="1" x14ac:dyDescent="0.35"/>
    <row r="151" spans="1:13" ht="15" thickBot="1" x14ac:dyDescent="0.4"/>
    <row r="152" spans="1:13" ht="15.5" thickTop="1" thickBot="1" x14ac:dyDescent="0.4">
      <c r="A152" s="437">
        <v>2022</v>
      </c>
      <c r="B152" s="438"/>
      <c r="C152" s="438"/>
      <c r="D152" s="438"/>
      <c r="E152" s="438"/>
      <c r="F152" s="438"/>
      <c r="G152" s="438"/>
      <c r="H152" s="438"/>
      <c r="I152" s="438"/>
      <c r="J152" s="438"/>
      <c r="K152" s="438"/>
      <c r="L152" s="438"/>
      <c r="M152" s="439"/>
    </row>
    <row r="153" spans="1:13" ht="15.5" thickTop="1" thickBot="1" x14ac:dyDescent="0.4">
      <c r="A153" s="440" t="s">
        <v>557</v>
      </c>
      <c r="B153" s="441"/>
      <c r="C153" s="441"/>
      <c r="D153" s="441"/>
      <c r="E153" s="441"/>
      <c r="F153" s="441"/>
      <c r="G153" s="441"/>
      <c r="H153" s="441"/>
      <c r="I153" s="441"/>
      <c r="J153" s="441"/>
      <c r="K153" s="441"/>
      <c r="L153" s="441"/>
      <c r="M153" s="442"/>
    </row>
    <row r="154" spans="1:13" ht="144" outlineLevel="1" thickTop="1" x14ac:dyDescent="0.35">
      <c r="A154" s="127" t="s">
        <v>62</v>
      </c>
      <c r="B154" s="127" t="s">
        <v>62</v>
      </c>
      <c r="C154" s="128" t="s">
        <v>455</v>
      </c>
      <c r="D154" s="128" t="s">
        <v>456</v>
      </c>
      <c r="E154" s="128" t="s">
        <v>457</v>
      </c>
      <c r="F154" s="128" t="s">
        <v>458</v>
      </c>
      <c r="G154" s="128" t="s">
        <v>459</v>
      </c>
      <c r="H154" s="128" t="s">
        <v>460</v>
      </c>
      <c r="I154" s="128" t="s">
        <v>461</v>
      </c>
      <c r="J154" s="128" t="s">
        <v>462</v>
      </c>
      <c r="K154" s="125" t="s">
        <v>463</v>
      </c>
      <c r="L154" s="128" t="s">
        <v>464</v>
      </c>
      <c r="M154" s="129" t="s">
        <v>465</v>
      </c>
    </row>
    <row r="155" spans="1:13" outlineLevel="1" x14ac:dyDescent="0.35">
      <c r="A155" s="285" t="s">
        <v>466</v>
      </c>
      <c r="B155" s="110" t="s">
        <v>467</v>
      </c>
      <c r="C155" s="138">
        <v>18638</v>
      </c>
      <c r="D155" s="138">
        <v>15214</v>
      </c>
      <c r="E155" s="138">
        <v>3475</v>
      </c>
      <c r="F155" s="138">
        <v>-2862</v>
      </c>
      <c r="G155" s="138">
        <v>1346</v>
      </c>
      <c r="H155" s="138">
        <v>29363</v>
      </c>
      <c r="I155" s="145">
        <v>-23</v>
      </c>
      <c r="J155" s="138">
        <v>849735</v>
      </c>
      <c r="K155" s="138">
        <v>914886</v>
      </c>
      <c r="L155" s="138">
        <v>8136</v>
      </c>
      <c r="M155" s="139">
        <v>923022</v>
      </c>
    </row>
    <row r="156" spans="1:13" s="31" customFormat="1" outlineLevel="1" x14ac:dyDescent="0.35">
      <c r="A156" s="270" t="s">
        <v>468</v>
      </c>
      <c r="B156" s="271" t="s">
        <v>469</v>
      </c>
      <c r="C156" s="8">
        <v>0</v>
      </c>
      <c r="D156" s="119">
        <v>0</v>
      </c>
      <c r="E156" s="119">
        <v>0</v>
      </c>
      <c r="F156" s="119">
        <v>0</v>
      </c>
      <c r="G156" s="119">
        <v>0</v>
      </c>
      <c r="H156" s="8">
        <v>0</v>
      </c>
      <c r="I156" s="119">
        <v>0</v>
      </c>
      <c r="J156" s="8">
        <v>169076</v>
      </c>
      <c r="K156" s="29">
        <v>169076</v>
      </c>
      <c r="L156" s="8">
        <v>1674</v>
      </c>
      <c r="M156" s="133">
        <v>170750</v>
      </c>
    </row>
    <row r="157" spans="1:13" s="31" customFormat="1" ht="15" customHeight="1" outlineLevel="1" x14ac:dyDescent="0.35">
      <c r="A157" s="132" t="s">
        <v>232</v>
      </c>
      <c r="B157" s="102" t="s">
        <v>233</v>
      </c>
      <c r="C157" s="8">
        <v>0</v>
      </c>
      <c r="D157" s="119">
        <v>0</v>
      </c>
      <c r="E157" s="119">
        <v>0</v>
      </c>
      <c r="F157" s="119">
        <v>0</v>
      </c>
      <c r="G157" s="119">
        <v>0</v>
      </c>
      <c r="H157" s="8">
        <v>19392</v>
      </c>
      <c r="I157" s="119">
        <v>0</v>
      </c>
      <c r="J157" s="8">
        <v>0</v>
      </c>
      <c r="K157" s="29">
        <v>19392</v>
      </c>
      <c r="L157" s="8">
        <v>848</v>
      </c>
      <c r="M157" s="133">
        <v>20240</v>
      </c>
    </row>
    <row r="158" spans="1:13" outlineLevel="1" x14ac:dyDescent="0.35">
      <c r="A158" s="132" t="s">
        <v>234</v>
      </c>
      <c r="B158" s="102" t="s">
        <v>235</v>
      </c>
      <c r="C158" s="8">
        <v>0</v>
      </c>
      <c r="D158" s="119">
        <v>0</v>
      </c>
      <c r="E158" s="119">
        <v>0</v>
      </c>
      <c r="F158" s="119">
        <v>0</v>
      </c>
      <c r="G158" s="119">
        <v>0</v>
      </c>
      <c r="H158" s="8">
        <v>-909</v>
      </c>
      <c r="I158" s="119">
        <v>0</v>
      </c>
      <c r="J158" s="8">
        <v>0</v>
      </c>
      <c r="K158" s="29">
        <v>-909</v>
      </c>
      <c r="L158" s="8">
        <v>0</v>
      </c>
      <c r="M158" s="133">
        <v>-909</v>
      </c>
    </row>
    <row r="159" spans="1:13" outlineLevel="1" x14ac:dyDescent="0.35">
      <c r="A159" s="132" t="s">
        <v>470</v>
      </c>
      <c r="B159" s="102" t="s">
        <v>522</v>
      </c>
      <c r="C159" s="8">
        <v>0</v>
      </c>
      <c r="D159" s="119">
        <v>0</v>
      </c>
      <c r="E159" s="119">
        <v>0</v>
      </c>
      <c r="F159" s="119">
        <v>0</v>
      </c>
      <c r="G159" s="119">
        <v>0</v>
      </c>
      <c r="H159" s="8">
        <v>0</v>
      </c>
      <c r="I159" s="119">
        <v>0</v>
      </c>
      <c r="J159" s="8">
        <v>1131</v>
      </c>
      <c r="K159" s="29">
        <v>1131</v>
      </c>
      <c r="L159" s="8">
        <v>0</v>
      </c>
      <c r="M159" s="133">
        <v>1131</v>
      </c>
    </row>
    <row r="160" spans="1:13" outlineLevel="1" x14ac:dyDescent="0.35">
      <c r="A160" s="132" t="s">
        <v>472</v>
      </c>
      <c r="B160" s="102" t="s">
        <v>569</v>
      </c>
      <c r="C160" s="8">
        <v>0</v>
      </c>
      <c r="D160" s="119">
        <v>0</v>
      </c>
      <c r="E160" s="119">
        <v>0</v>
      </c>
      <c r="F160" s="119">
        <v>0</v>
      </c>
      <c r="G160" s="119">
        <v>690</v>
      </c>
      <c r="H160" s="8">
        <v>0</v>
      </c>
      <c r="I160" s="119">
        <v>0</v>
      </c>
      <c r="J160" s="8">
        <v>0</v>
      </c>
      <c r="K160" s="29">
        <v>690</v>
      </c>
      <c r="L160" s="8">
        <v>0</v>
      </c>
      <c r="M160" s="133">
        <v>690</v>
      </c>
    </row>
    <row r="161" spans="1:13" outlineLevel="1" x14ac:dyDescent="0.35">
      <c r="A161" s="132" t="s">
        <v>474</v>
      </c>
      <c r="B161" s="102" t="s">
        <v>475</v>
      </c>
      <c r="C161" s="8">
        <v>0</v>
      </c>
      <c r="D161" s="119">
        <v>0</v>
      </c>
      <c r="E161" s="119">
        <v>0</v>
      </c>
      <c r="F161" s="119">
        <v>0</v>
      </c>
      <c r="G161" s="119">
        <v>-2375</v>
      </c>
      <c r="H161" s="119">
        <v>0</v>
      </c>
      <c r="I161" s="119">
        <v>0</v>
      </c>
      <c r="J161" s="8">
        <v>2375</v>
      </c>
      <c r="K161" s="29">
        <v>0</v>
      </c>
      <c r="L161" s="119" t="s">
        <v>178</v>
      </c>
      <c r="M161" s="133">
        <v>0</v>
      </c>
    </row>
    <row r="162" spans="1:13" s="126" customFormat="1" ht="13.5" outlineLevel="1" x14ac:dyDescent="0.3">
      <c r="A162" s="132" t="s">
        <v>236</v>
      </c>
      <c r="B162" s="102" t="s">
        <v>237</v>
      </c>
      <c r="C162" s="8">
        <v>0</v>
      </c>
      <c r="D162" s="119">
        <v>0</v>
      </c>
      <c r="E162" s="119">
        <v>0</v>
      </c>
      <c r="F162" s="119">
        <v>0</v>
      </c>
      <c r="G162" s="8">
        <v>0</v>
      </c>
      <c r="H162" s="119">
        <v>0</v>
      </c>
      <c r="I162" s="119">
        <v>-8432</v>
      </c>
      <c r="J162" s="8">
        <v>0</v>
      </c>
      <c r="K162" s="29">
        <v>-8432</v>
      </c>
      <c r="L162" s="119" t="s">
        <v>178</v>
      </c>
      <c r="M162" s="133">
        <v>-8432</v>
      </c>
    </row>
    <row r="163" spans="1:13" s="31" customFormat="1" outlineLevel="1" x14ac:dyDescent="0.35">
      <c r="A163" s="132" t="s">
        <v>238</v>
      </c>
      <c r="B163" s="102" t="s">
        <v>239</v>
      </c>
      <c r="C163" s="8">
        <v>0</v>
      </c>
      <c r="D163" s="119">
        <v>0</v>
      </c>
      <c r="E163" s="119">
        <v>0</v>
      </c>
      <c r="F163" s="119">
        <v>0</v>
      </c>
      <c r="G163" s="119">
        <v>0</v>
      </c>
      <c r="H163" s="119">
        <v>0</v>
      </c>
      <c r="I163" s="8">
        <v>9275</v>
      </c>
      <c r="J163" s="119">
        <v>0</v>
      </c>
      <c r="K163" s="29">
        <v>9275</v>
      </c>
      <c r="L163" s="119">
        <v>0</v>
      </c>
      <c r="M163" s="133">
        <v>9275</v>
      </c>
    </row>
    <row r="164" spans="1:13" outlineLevel="1" x14ac:dyDescent="0.35">
      <c r="A164" s="130" t="s">
        <v>476</v>
      </c>
      <c r="B164" s="111" t="s">
        <v>477</v>
      </c>
      <c r="C164" s="143">
        <v>0</v>
      </c>
      <c r="D164" s="143">
        <v>0</v>
      </c>
      <c r="E164" s="143">
        <v>0</v>
      </c>
      <c r="F164" s="143">
        <v>0</v>
      </c>
      <c r="G164" s="116">
        <v>-1685</v>
      </c>
      <c r="H164" s="116">
        <v>18483</v>
      </c>
      <c r="I164" s="116">
        <v>843</v>
      </c>
      <c r="J164" s="116">
        <v>172582</v>
      </c>
      <c r="K164" s="116">
        <v>190223</v>
      </c>
      <c r="L164" s="116">
        <v>2522</v>
      </c>
      <c r="M164" s="141">
        <v>192745</v>
      </c>
    </row>
    <row r="165" spans="1:13" outlineLevel="1" x14ac:dyDescent="0.35">
      <c r="A165" s="132" t="s">
        <v>1122</v>
      </c>
      <c r="B165" s="102" t="s">
        <v>478</v>
      </c>
      <c r="C165" s="119">
        <v>0</v>
      </c>
      <c r="D165" s="119">
        <v>0</v>
      </c>
      <c r="E165" s="119">
        <v>0</v>
      </c>
      <c r="F165" s="8">
        <v>-1326</v>
      </c>
      <c r="G165" s="119">
        <v>0</v>
      </c>
      <c r="H165" s="119">
        <v>0</v>
      </c>
      <c r="I165" s="119">
        <v>0</v>
      </c>
      <c r="J165" s="8">
        <v>0</v>
      </c>
      <c r="K165" s="146">
        <v>-1326</v>
      </c>
      <c r="L165" s="119">
        <v>0</v>
      </c>
      <c r="M165" s="144">
        <v>-1326</v>
      </c>
    </row>
    <row r="166" spans="1:13" outlineLevel="1" x14ac:dyDescent="0.35">
      <c r="A166" s="132" t="s">
        <v>1123</v>
      </c>
      <c r="B166" s="102" t="s">
        <v>479</v>
      </c>
      <c r="C166" s="119">
        <v>0</v>
      </c>
      <c r="D166" s="119">
        <v>0</v>
      </c>
      <c r="E166" s="119">
        <v>0</v>
      </c>
      <c r="F166" s="119">
        <v>2065</v>
      </c>
      <c r="G166" s="119">
        <v>0</v>
      </c>
      <c r="H166" s="119">
        <v>0</v>
      </c>
      <c r="I166" s="119">
        <v>0</v>
      </c>
      <c r="J166" s="8">
        <v>-2065</v>
      </c>
      <c r="K166" s="29">
        <v>0</v>
      </c>
      <c r="L166" s="119">
        <v>0</v>
      </c>
      <c r="M166" s="133">
        <v>0</v>
      </c>
    </row>
    <row r="167" spans="1:13" outlineLevel="1" x14ac:dyDescent="0.35">
      <c r="A167" s="132" t="s">
        <v>480</v>
      </c>
      <c r="B167" s="102" t="s">
        <v>481</v>
      </c>
      <c r="C167" s="119">
        <v>0</v>
      </c>
      <c r="D167" s="119">
        <v>0</v>
      </c>
      <c r="E167" s="119">
        <v>0</v>
      </c>
      <c r="F167" s="119">
        <v>0</v>
      </c>
      <c r="G167" s="119">
        <v>0</v>
      </c>
      <c r="H167" s="119">
        <v>0</v>
      </c>
      <c r="I167" s="119">
        <v>0</v>
      </c>
      <c r="J167" s="8">
        <v>1552</v>
      </c>
      <c r="K167" s="29">
        <v>1552</v>
      </c>
      <c r="L167" s="119">
        <v>0</v>
      </c>
      <c r="M167" s="133">
        <v>1552</v>
      </c>
    </row>
    <row r="168" spans="1:13" outlineLevel="1" x14ac:dyDescent="0.35">
      <c r="A168" s="132" t="s">
        <v>493</v>
      </c>
      <c r="B168" s="102" t="s">
        <v>494</v>
      </c>
      <c r="C168" s="119">
        <v>0</v>
      </c>
      <c r="D168" s="119">
        <v>0</v>
      </c>
      <c r="E168" s="119">
        <v>0</v>
      </c>
      <c r="F168" s="119">
        <v>0</v>
      </c>
      <c r="G168" s="119">
        <v>0</v>
      </c>
      <c r="H168" s="119">
        <v>0</v>
      </c>
      <c r="I168" s="119">
        <v>0</v>
      </c>
      <c r="J168" s="8">
        <v>-41934</v>
      </c>
      <c r="K168" s="29">
        <v>-41934</v>
      </c>
      <c r="L168" s="119">
        <v>0</v>
      </c>
      <c r="M168" s="133">
        <v>-41934</v>
      </c>
    </row>
    <row r="169" spans="1:13" outlineLevel="1" x14ac:dyDescent="0.35">
      <c r="A169" s="132" t="s">
        <v>484</v>
      </c>
      <c r="B169" s="102" t="s">
        <v>485</v>
      </c>
      <c r="C169" s="119">
        <v>0</v>
      </c>
      <c r="D169" s="119">
        <v>0</v>
      </c>
      <c r="E169" s="119">
        <v>0</v>
      </c>
      <c r="F169" s="119">
        <v>0</v>
      </c>
      <c r="G169" s="119">
        <v>0</v>
      </c>
      <c r="H169" s="119">
        <v>0</v>
      </c>
      <c r="I169" s="119">
        <v>0</v>
      </c>
      <c r="J169" s="8">
        <v>0</v>
      </c>
      <c r="K169" s="29">
        <v>0</v>
      </c>
      <c r="L169" s="119">
        <v>-212</v>
      </c>
      <c r="M169" s="133">
        <v>-212</v>
      </c>
    </row>
    <row r="170" spans="1:13" outlineLevel="1" x14ac:dyDescent="0.35">
      <c r="A170" s="132" t="s">
        <v>1126</v>
      </c>
      <c r="B170" s="102" t="s">
        <v>1127</v>
      </c>
      <c r="C170" s="119">
        <v>0</v>
      </c>
      <c r="D170" s="119">
        <v>0</v>
      </c>
      <c r="E170" s="119">
        <v>0</v>
      </c>
      <c r="F170" s="119">
        <v>0</v>
      </c>
      <c r="G170" s="119">
        <v>0</v>
      </c>
      <c r="H170" s="119">
        <v>0</v>
      </c>
      <c r="I170" s="119">
        <v>0</v>
      </c>
      <c r="J170" s="8">
        <v>0</v>
      </c>
      <c r="K170" s="29">
        <v>0</v>
      </c>
      <c r="L170" s="119">
        <v>0</v>
      </c>
      <c r="M170" s="133">
        <v>0</v>
      </c>
    </row>
    <row r="171" spans="1:13" outlineLevel="1" x14ac:dyDescent="0.35">
      <c r="A171" s="132" t="s">
        <v>1128</v>
      </c>
      <c r="B171" s="102" t="s">
        <v>1129</v>
      </c>
      <c r="C171" s="119">
        <v>0</v>
      </c>
      <c r="D171" s="119">
        <v>0</v>
      </c>
      <c r="E171" s="119">
        <v>0</v>
      </c>
      <c r="F171" s="119">
        <v>0</v>
      </c>
      <c r="G171" s="119">
        <v>0</v>
      </c>
      <c r="H171" s="119">
        <v>0</v>
      </c>
      <c r="I171" s="119">
        <v>0</v>
      </c>
      <c r="J171" s="8">
        <v>0</v>
      </c>
      <c r="K171" s="29">
        <v>0</v>
      </c>
      <c r="L171" s="119">
        <v>0</v>
      </c>
      <c r="M171" s="133">
        <v>0</v>
      </c>
    </row>
    <row r="172" spans="1:13" s="31" customFormat="1" outlineLevel="1" x14ac:dyDescent="0.35">
      <c r="A172" s="132" t="s">
        <v>495</v>
      </c>
      <c r="B172" s="102" t="s">
        <v>496</v>
      </c>
      <c r="C172" s="119">
        <v>0</v>
      </c>
      <c r="D172" s="119">
        <v>0</v>
      </c>
      <c r="E172" s="119">
        <v>0</v>
      </c>
      <c r="F172" s="119">
        <v>0</v>
      </c>
      <c r="G172" s="119">
        <v>0</v>
      </c>
      <c r="H172" s="119">
        <v>0</v>
      </c>
      <c r="I172" s="119">
        <v>0</v>
      </c>
      <c r="J172" s="119">
        <v>0</v>
      </c>
      <c r="K172" s="146">
        <v>0</v>
      </c>
      <c r="L172" s="8">
        <v>0</v>
      </c>
      <c r="M172" s="133">
        <v>0</v>
      </c>
    </row>
    <row r="173" spans="1:13" outlineLevel="1" x14ac:dyDescent="0.35">
      <c r="A173" s="130" t="s">
        <v>486</v>
      </c>
      <c r="B173" s="111" t="s">
        <v>487</v>
      </c>
      <c r="C173" s="142">
        <v>0</v>
      </c>
      <c r="D173" s="142">
        <v>0</v>
      </c>
      <c r="E173" s="142">
        <v>0</v>
      </c>
      <c r="F173" s="124">
        <v>739</v>
      </c>
      <c r="G173" s="142">
        <v>0</v>
      </c>
      <c r="H173" s="142">
        <v>0</v>
      </c>
      <c r="I173" s="142">
        <v>0</v>
      </c>
      <c r="J173" s="124">
        <v>-42447</v>
      </c>
      <c r="K173" s="124">
        <v>-41708</v>
      </c>
      <c r="L173" s="124">
        <v>-212</v>
      </c>
      <c r="M173" s="131">
        <v>-41920</v>
      </c>
    </row>
    <row r="174" spans="1:13" outlineLevel="1" x14ac:dyDescent="0.35">
      <c r="A174" s="130" t="s">
        <v>488</v>
      </c>
      <c r="B174" s="111" t="s">
        <v>489</v>
      </c>
      <c r="C174" s="124">
        <v>18638</v>
      </c>
      <c r="D174" s="124">
        <v>15214</v>
      </c>
      <c r="E174" s="124">
        <v>3475</v>
      </c>
      <c r="F174" s="124">
        <v>-2123</v>
      </c>
      <c r="G174" s="124">
        <v>-339</v>
      </c>
      <c r="H174" s="124">
        <v>47846</v>
      </c>
      <c r="I174" s="124">
        <v>820</v>
      </c>
      <c r="J174" s="124">
        <v>979870</v>
      </c>
      <c r="K174" s="124">
        <v>1063401</v>
      </c>
      <c r="L174" s="124">
        <v>10446</v>
      </c>
      <c r="M174" s="131">
        <v>1073847</v>
      </c>
    </row>
    <row r="177" spans="1:13" ht="15" thickBot="1" x14ac:dyDescent="0.4">
      <c r="A177" s="485">
        <v>2022</v>
      </c>
      <c r="B177" s="485"/>
      <c r="C177" s="485"/>
      <c r="D177" s="485"/>
      <c r="E177" s="485"/>
      <c r="F177" s="485"/>
      <c r="G177" s="485"/>
      <c r="H177" s="485"/>
      <c r="I177" s="485"/>
      <c r="J177" s="485"/>
      <c r="K177" s="485"/>
      <c r="L177" s="485"/>
      <c r="M177" s="485"/>
    </row>
    <row r="178" spans="1:13" ht="15.5" thickTop="1" thickBot="1" x14ac:dyDescent="0.4">
      <c r="A178" s="440" t="s">
        <v>547</v>
      </c>
      <c r="B178" s="408"/>
      <c r="C178" s="408"/>
      <c r="D178" s="408"/>
      <c r="E178" s="408"/>
      <c r="F178" s="408"/>
      <c r="G178" s="408"/>
      <c r="H178" s="408"/>
      <c r="I178" s="408"/>
      <c r="J178" s="408"/>
      <c r="K178" s="408"/>
      <c r="L178" s="408"/>
      <c r="M178" s="409"/>
    </row>
    <row r="179" spans="1:13" ht="144" outlineLevel="1" thickTop="1" x14ac:dyDescent="0.35">
      <c r="A179" s="127" t="s">
        <v>62</v>
      </c>
      <c r="B179" s="127" t="s">
        <v>62</v>
      </c>
      <c r="C179" s="128" t="s">
        <v>455</v>
      </c>
      <c r="D179" s="128" t="s">
        <v>456</v>
      </c>
      <c r="E179" s="128" t="s">
        <v>457</v>
      </c>
      <c r="F179" s="128" t="s">
        <v>458</v>
      </c>
      <c r="G179" s="128" t="s">
        <v>459</v>
      </c>
      <c r="H179" s="128" t="s">
        <v>460</v>
      </c>
      <c r="I179" s="128" t="s">
        <v>461</v>
      </c>
      <c r="J179" s="128" t="s">
        <v>462</v>
      </c>
      <c r="K179" s="125" t="s">
        <v>463</v>
      </c>
      <c r="L179" s="128" t="s">
        <v>464</v>
      </c>
      <c r="M179" s="129" t="s">
        <v>465</v>
      </c>
    </row>
    <row r="180" spans="1:13" outlineLevel="1" x14ac:dyDescent="0.35">
      <c r="A180" s="130" t="s">
        <v>466</v>
      </c>
      <c r="B180" s="111" t="s">
        <v>467</v>
      </c>
      <c r="C180" s="124">
        <v>18638</v>
      </c>
      <c r="D180" s="124">
        <v>15214</v>
      </c>
      <c r="E180" s="124">
        <v>3475</v>
      </c>
      <c r="F180" s="124">
        <v>-2862</v>
      </c>
      <c r="G180" s="124">
        <v>1346</v>
      </c>
      <c r="H180" s="124">
        <v>29363</v>
      </c>
      <c r="I180" s="124">
        <v>-23</v>
      </c>
      <c r="J180" s="124">
        <v>849735</v>
      </c>
      <c r="K180" s="124">
        <v>914886</v>
      </c>
      <c r="L180" s="124">
        <v>8136</v>
      </c>
      <c r="M180" s="131">
        <v>923022</v>
      </c>
    </row>
    <row r="181" spans="1:13" s="31" customFormat="1" outlineLevel="1" x14ac:dyDescent="0.35">
      <c r="A181" s="132" t="s">
        <v>197</v>
      </c>
      <c r="B181" s="102" t="s">
        <v>198</v>
      </c>
      <c r="C181" s="119">
        <v>0</v>
      </c>
      <c r="D181" s="119">
        <v>0</v>
      </c>
      <c r="E181" s="119">
        <v>0</v>
      </c>
      <c r="F181" s="119">
        <v>0</v>
      </c>
      <c r="G181" s="119">
        <v>0</v>
      </c>
      <c r="H181" s="119">
        <v>0</v>
      </c>
      <c r="I181" s="119">
        <v>0</v>
      </c>
      <c r="J181" s="8">
        <v>196003</v>
      </c>
      <c r="K181" s="29">
        <v>196003</v>
      </c>
      <c r="L181" s="8">
        <v>1254</v>
      </c>
      <c r="M181" s="133">
        <v>197257</v>
      </c>
    </row>
    <row r="182" spans="1:13" s="31" customFormat="1" outlineLevel="1" x14ac:dyDescent="0.35">
      <c r="A182" s="132" t="s">
        <v>232</v>
      </c>
      <c r="B182" s="102" t="s">
        <v>233</v>
      </c>
      <c r="C182" s="119">
        <v>0</v>
      </c>
      <c r="D182" s="119">
        <v>0</v>
      </c>
      <c r="E182" s="119">
        <v>0</v>
      </c>
      <c r="F182" s="119">
        <v>0</v>
      </c>
      <c r="G182" s="119">
        <v>0</v>
      </c>
      <c r="H182" s="8">
        <v>48597</v>
      </c>
      <c r="I182" s="8">
        <v>0</v>
      </c>
      <c r="J182" s="119">
        <v>0</v>
      </c>
      <c r="K182" s="29">
        <v>48597</v>
      </c>
      <c r="L182" s="8">
        <v>1715</v>
      </c>
      <c r="M182" s="133">
        <v>50312</v>
      </c>
    </row>
    <row r="183" spans="1:13" outlineLevel="1" x14ac:dyDescent="0.35">
      <c r="A183" s="132" t="s">
        <v>234</v>
      </c>
      <c r="B183" s="102" t="s">
        <v>235</v>
      </c>
      <c r="C183" s="119">
        <v>0</v>
      </c>
      <c r="D183" s="119">
        <v>0</v>
      </c>
      <c r="E183" s="119">
        <v>0</v>
      </c>
      <c r="F183" s="119">
        <v>0</v>
      </c>
      <c r="G183" s="119">
        <v>0</v>
      </c>
      <c r="H183" s="8">
        <v>-1260</v>
      </c>
      <c r="I183" s="8">
        <v>0</v>
      </c>
      <c r="J183" s="119">
        <v>0</v>
      </c>
      <c r="K183" s="29">
        <v>-1260</v>
      </c>
      <c r="L183" s="119">
        <v>0</v>
      </c>
      <c r="M183" s="133">
        <v>-1260</v>
      </c>
    </row>
    <row r="184" spans="1:13" outlineLevel="1" x14ac:dyDescent="0.35">
      <c r="A184" s="132" t="s">
        <v>1138</v>
      </c>
      <c r="B184" s="102" t="s">
        <v>1139</v>
      </c>
      <c r="C184" s="119">
        <v>0</v>
      </c>
      <c r="D184" s="119">
        <v>0</v>
      </c>
      <c r="E184" s="119">
        <v>0</v>
      </c>
      <c r="F184" s="119">
        <v>0</v>
      </c>
      <c r="G184" s="119">
        <v>0</v>
      </c>
      <c r="H184" s="119">
        <v>0</v>
      </c>
      <c r="I184" s="119">
        <v>0</v>
      </c>
      <c r="J184" s="8">
        <v>400</v>
      </c>
      <c r="K184" s="29">
        <v>400</v>
      </c>
      <c r="L184" s="119">
        <v>0</v>
      </c>
      <c r="M184" s="133">
        <v>400</v>
      </c>
    </row>
    <row r="185" spans="1:13" outlineLevel="1" x14ac:dyDescent="0.35">
      <c r="A185" s="132" t="s">
        <v>472</v>
      </c>
      <c r="B185" s="102" t="s">
        <v>473</v>
      </c>
      <c r="C185" s="119">
        <v>0</v>
      </c>
      <c r="D185" s="119">
        <v>0</v>
      </c>
      <c r="E185" s="119">
        <v>0</v>
      </c>
      <c r="F185" s="119">
        <v>0</v>
      </c>
      <c r="G185" s="8">
        <v>-8472</v>
      </c>
      <c r="H185" s="119">
        <v>0</v>
      </c>
      <c r="I185" s="119">
        <v>0</v>
      </c>
      <c r="J185" s="119">
        <v>0</v>
      </c>
      <c r="K185" s="29">
        <v>-8472</v>
      </c>
      <c r="L185" s="119">
        <v>0</v>
      </c>
      <c r="M185" s="133">
        <v>-8472</v>
      </c>
    </row>
    <row r="186" spans="1:13" outlineLevel="1" x14ac:dyDescent="0.35">
      <c r="A186" s="132" t="s">
        <v>474</v>
      </c>
      <c r="B186" s="102" t="s">
        <v>475</v>
      </c>
      <c r="C186" s="119">
        <v>0</v>
      </c>
      <c r="D186" s="119">
        <v>0</v>
      </c>
      <c r="E186" s="119">
        <v>0</v>
      </c>
      <c r="F186" s="119">
        <v>0</v>
      </c>
      <c r="G186" s="8">
        <v>-2375</v>
      </c>
      <c r="H186" s="119">
        <v>0</v>
      </c>
      <c r="I186" s="119">
        <v>0</v>
      </c>
      <c r="J186" s="8">
        <v>2375</v>
      </c>
      <c r="K186" s="119">
        <v>0</v>
      </c>
      <c r="L186" s="119">
        <v>0</v>
      </c>
      <c r="M186" s="144">
        <v>0</v>
      </c>
    </row>
    <row r="187" spans="1:13" s="126" customFormat="1" ht="13.5" outlineLevel="1" x14ac:dyDescent="0.3">
      <c r="A187" s="132" t="s">
        <v>236</v>
      </c>
      <c r="B187" s="102" t="s">
        <v>237</v>
      </c>
      <c r="C187" s="119">
        <v>0</v>
      </c>
      <c r="D187" s="119">
        <v>0</v>
      </c>
      <c r="E187" s="119">
        <v>0</v>
      </c>
      <c r="F187" s="119">
        <v>0</v>
      </c>
      <c r="G187" s="8">
        <v>0</v>
      </c>
      <c r="H187" s="119">
        <v>0</v>
      </c>
      <c r="I187" s="119">
        <v>-13713</v>
      </c>
      <c r="J187" s="8">
        <v>0</v>
      </c>
      <c r="K187" s="119">
        <v>-13713</v>
      </c>
      <c r="L187" s="119">
        <v>0</v>
      </c>
      <c r="M187" s="144">
        <v>-13713</v>
      </c>
    </row>
    <row r="188" spans="1:13" s="31" customFormat="1" outlineLevel="1" x14ac:dyDescent="0.35">
      <c r="A188" s="132" t="s">
        <v>238</v>
      </c>
      <c r="B188" s="102" t="s">
        <v>239</v>
      </c>
      <c r="C188" s="119">
        <v>0</v>
      </c>
      <c r="D188" s="119">
        <v>0</v>
      </c>
      <c r="E188" s="119">
        <v>0</v>
      </c>
      <c r="F188" s="119">
        <v>0</v>
      </c>
      <c r="G188" s="119">
        <v>0</v>
      </c>
      <c r="H188" s="119">
        <v>0</v>
      </c>
      <c r="I188" s="119" t="s">
        <v>178</v>
      </c>
      <c r="J188" s="119">
        <v>0</v>
      </c>
      <c r="K188" s="29">
        <v>0</v>
      </c>
      <c r="L188" s="119">
        <v>0</v>
      </c>
      <c r="M188" s="133">
        <v>0</v>
      </c>
    </row>
    <row r="189" spans="1:13" outlineLevel="1" x14ac:dyDescent="0.35">
      <c r="A189" s="130" t="s">
        <v>511</v>
      </c>
      <c r="B189" s="111" t="s">
        <v>555</v>
      </c>
      <c r="C189" s="143">
        <v>0</v>
      </c>
      <c r="D189" s="143">
        <v>0</v>
      </c>
      <c r="E189" s="143">
        <v>0</v>
      </c>
      <c r="F189" s="143">
        <v>0</v>
      </c>
      <c r="G189" s="124">
        <v>-10847</v>
      </c>
      <c r="H189" s="124">
        <v>47337</v>
      </c>
      <c r="I189" s="124">
        <v>-13713</v>
      </c>
      <c r="J189" s="124">
        <v>198778</v>
      </c>
      <c r="K189" s="124">
        <v>221555</v>
      </c>
      <c r="L189" s="143">
        <v>2969</v>
      </c>
      <c r="M189" s="131">
        <v>224524</v>
      </c>
    </row>
    <row r="190" spans="1:13" outlineLevel="1" x14ac:dyDescent="0.35">
      <c r="A190" s="132" t="s">
        <v>1122</v>
      </c>
      <c r="B190" s="102" t="s">
        <v>478</v>
      </c>
      <c r="C190" s="119">
        <v>0</v>
      </c>
      <c r="D190" s="119">
        <v>0</v>
      </c>
      <c r="E190" s="119">
        <v>0</v>
      </c>
      <c r="F190" s="8">
        <v>-33</v>
      </c>
      <c r="G190" s="119">
        <v>0</v>
      </c>
      <c r="H190" s="119">
        <v>0</v>
      </c>
      <c r="I190" s="119">
        <v>0</v>
      </c>
      <c r="J190" s="119">
        <v>0</v>
      </c>
      <c r="K190" s="29">
        <v>-33</v>
      </c>
      <c r="L190" s="119">
        <v>0</v>
      </c>
      <c r="M190" s="133">
        <v>-33</v>
      </c>
    </row>
    <row r="191" spans="1:13" outlineLevel="1" x14ac:dyDescent="0.35">
      <c r="A191" s="132" t="s">
        <v>1123</v>
      </c>
      <c r="B191" s="102" t="s">
        <v>479</v>
      </c>
      <c r="C191" s="119">
        <v>0</v>
      </c>
      <c r="D191" s="119">
        <v>0</v>
      </c>
      <c r="E191" s="119">
        <v>0</v>
      </c>
      <c r="F191" s="8">
        <v>-110</v>
      </c>
      <c r="G191" s="119">
        <v>0</v>
      </c>
      <c r="H191" s="119">
        <v>0</v>
      </c>
      <c r="I191" s="119">
        <v>0</v>
      </c>
      <c r="J191" s="119">
        <v>110</v>
      </c>
      <c r="K191" s="29">
        <v>0</v>
      </c>
      <c r="L191" s="119">
        <v>0</v>
      </c>
      <c r="M191" s="133">
        <v>0</v>
      </c>
    </row>
    <row r="192" spans="1:13" outlineLevel="1" x14ac:dyDescent="0.35">
      <c r="A192" s="132" t="s">
        <v>480</v>
      </c>
      <c r="B192" s="102" t="s">
        <v>481</v>
      </c>
      <c r="C192" s="119">
        <v>0</v>
      </c>
      <c r="D192" s="119">
        <v>0</v>
      </c>
      <c r="E192" s="119">
        <v>0</v>
      </c>
      <c r="F192" s="8">
        <v>0</v>
      </c>
      <c r="G192" s="119">
        <v>0</v>
      </c>
      <c r="H192" s="119">
        <v>0</v>
      </c>
      <c r="I192" s="119">
        <v>0</v>
      </c>
      <c r="J192" s="119">
        <v>1165</v>
      </c>
      <c r="K192" s="29">
        <v>1165</v>
      </c>
      <c r="L192" s="119">
        <v>0</v>
      </c>
      <c r="M192" s="133">
        <v>1165</v>
      </c>
    </row>
    <row r="193" spans="1:13" outlineLevel="1" x14ac:dyDescent="0.35">
      <c r="A193" s="132" t="s">
        <v>482</v>
      </c>
      <c r="B193" s="102" t="s">
        <v>483</v>
      </c>
      <c r="C193" s="119">
        <v>0</v>
      </c>
      <c r="D193" s="119">
        <v>0</v>
      </c>
      <c r="E193" s="119">
        <v>0</v>
      </c>
      <c r="F193" s="8">
        <v>0</v>
      </c>
      <c r="G193" s="119">
        <v>0</v>
      </c>
      <c r="H193" s="119">
        <v>0</v>
      </c>
      <c r="I193" s="119">
        <v>0</v>
      </c>
      <c r="J193" s="119">
        <v>-41934</v>
      </c>
      <c r="K193" s="29">
        <v>-41934</v>
      </c>
      <c r="L193" s="119">
        <v>0</v>
      </c>
      <c r="M193" s="133">
        <v>-41934</v>
      </c>
    </row>
    <row r="194" spans="1:13" outlineLevel="1" x14ac:dyDescent="0.35">
      <c r="A194" s="132" t="s">
        <v>484</v>
      </c>
      <c r="B194" s="102" t="s">
        <v>485</v>
      </c>
      <c r="C194" s="119">
        <v>0</v>
      </c>
      <c r="D194" s="119">
        <v>0</v>
      </c>
      <c r="E194" s="119">
        <v>0</v>
      </c>
      <c r="F194" s="8">
        <v>0</v>
      </c>
      <c r="G194" s="119">
        <v>0</v>
      </c>
      <c r="H194" s="119">
        <v>0</v>
      </c>
      <c r="I194" s="119">
        <v>0</v>
      </c>
      <c r="J194" s="8">
        <v>0</v>
      </c>
      <c r="K194" s="119">
        <v>0</v>
      </c>
      <c r="L194" s="119">
        <v>-47</v>
      </c>
      <c r="M194" s="144">
        <v>-47</v>
      </c>
    </row>
    <row r="195" spans="1:13" outlineLevel="1" x14ac:dyDescent="0.35">
      <c r="A195" s="132" t="s">
        <v>1126</v>
      </c>
      <c r="B195" s="102" t="s">
        <v>1127</v>
      </c>
      <c r="C195" s="119">
        <v>0</v>
      </c>
      <c r="D195" s="119">
        <v>0</v>
      </c>
      <c r="E195" s="119">
        <v>0</v>
      </c>
      <c r="F195" s="119">
        <v>0</v>
      </c>
      <c r="G195" s="119">
        <v>0</v>
      </c>
      <c r="H195" s="119">
        <v>0</v>
      </c>
      <c r="I195" s="119">
        <v>0</v>
      </c>
      <c r="J195" s="8">
        <v>0</v>
      </c>
      <c r="K195" s="29">
        <v>0</v>
      </c>
      <c r="L195" s="119">
        <v>0</v>
      </c>
      <c r="M195" s="133">
        <v>0</v>
      </c>
    </row>
    <row r="196" spans="1:13" outlineLevel="1" x14ac:dyDescent="0.35">
      <c r="A196" s="132" t="s">
        <v>1128</v>
      </c>
      <c r="B196" s="102" t="s">
        <v>1129</v>
      </c>
      <c r="C196" s="119">
        <v>0</v>
      </c>
      <c r="D196" s="119">
        <v>0</v>
      </c>
      <c r="E196" s="119">
        <v>0</v>
      </c>
      <c r="F196" s="119">
        <v>0</v>
      </c>
      <c r="G196" s="119">
        <v>0</v>
      </c>
      <c r="H196" s="119">
        <v>0</v>
      </c>
      <c r="I196" s="119">
        <v>0</v>
      </c>
      <c r="J196" s="8">
        <v>0</v>
      </c>
      <c r="K196" s="29">
        <v>0</v>
      </c>
      <c r="L196" s="119">
        <v>0</v>
      </c>
      <c r="M196" s="133">
        <v>0</v>
      </c>
    </row>
    <row r="197" spans="1:13" s="31" customFormat="1" outlineLevel="1" x14ac:dyDescent="0.35">
      <c r="A197" s="132" t="s">
        <v>549</v>
      </c>
      <c r="B197" s="102" t="s">
        <v>550</v>
      </c>
      <c r="C197" s="145">
        <v>0</v>
      </c>
      <c r="D197" s="145">
        <v>0</v>
      </c>
      <c r="E197" s="145">
        <v>0</v>
      </c>
      <c r="F197" s="119">
        <v>0</v>
      </c>
      <c r="G197" s="119">
        <v>0</v>
      </c>
      <c r="H197" s="119">
        <v>0</v>
      </c>
      <c r="I197" s="119">
        <v>0</v>
      </c>
      <c r="J197" s="119">
        <v>0</v>
      </c>
      <c r="K197" s="119">
        <v>0</v>
      </c>
      <c r="L197" s="8">
        <v>0</v>
      </c>
      <c r="M197" s="133">
        <v>0</v>
      </c>
    </row>
    <row r="198" spans="1:13" outlineLevel="1" x14ac:dyDescent="0.35">
      <c r="A198" s="130" t="s">
        <v>556</v>
      </c>
      <c r="B198" s="111" t="s">
        <v>523</v>
      </c>
      <c r="C198" s="143">
        <v>0</v>
      </c>
      <c r="D198" s="143">
        <v>0</v>
      </c>
      <c r="E198" s="143">
        <v>0</v>
      </c>
      <c r="F198" s="124">
        <v>-143</v>
      </c>
      <c r="G198" s="143">
        <v>0</v>
      </c>
      <c r="H198" s="143">
        <v>0</v>
      </c>
      <c r="I198" s="143">
        <v>0</v>
      </c>
      <c r="J198" s="124">
        <v>-40659</v>
      </c>
      <c r="K198" s="124">
        <v>-40802</v>
      </c>
      <c r="L198" s="124">
        <v>-47</v>
      </c>
      <c r="M198" s="131">
        <v>-40849</v>
      </c>
    </row>
    <row r="199" spans="1:13" ht="15" outlineLevel="1" thickBot="1" x14ac:dyDescent="0.4">
      <c r="A199" s="135" t="s">
        <v>524</v>
      </c>
      <c r="B199" s="223" t="s">
        <v>525</v>
      </c>
      <c r="C199" s="136">
        <v>18638</v>
      </c>
      <c r="D199" s="136">
        <v>15214</v>
      </c>
      <c r="E199" s="136">
        <v>3475</v>
      </c>
      <c r="F199" s="136">
        <v>-3005</v>
      </c>
      <c r="G199" s="136">
        <v>-9501</v>
      </c>
      <c r="H199" s="136">
        <v>76700</v>
      </c>
      <c r="I199" s="136">
        <v>-13736</v>
      </c>
      <c r="J199" s="136">
        <v>1007854</v>
      </c>
      <c r="K199" s="136">
        <v>1095639</v>
      </c>
      <c r="L199" s="136">
        <v>11058</v>
      </c>
      <c r="M199" s="137">
        <v>1106697</v>
      </c>
    </row>
    <row r="200" spans="1:13" ht="15" thickTop="1" x14ac:dyDescent="0.35"/>
    <row r="202" spans="1:13" ht="15" thickBot="1" x14ac:dyDescent="0.4">
      <c r="A202" s="485">
        <v>2022</v>
      </c>
      <c r="B202" s="485"/>
      <c r="C202" s="485"/>
      <c r="D202" s="485"/>
      <c r="E202" s="485"/>
      <c r="F202" s="485"/>
      <c r="G202" s="485"/>
      <c r="H202" s="485"/>
      <c r="I202" s="485"/>
      <c r="J202" s="485"/>
      <c r="K202" s="485"/>
      <c r="L202" s="485"/>
      <c r="M202" s="485"/>
    </row>
    <row r="203" spans="1:13" ht="15.5" thickTop="1" thickBot="1" x14ac:dyDescent="0.4">
      <c r="A203" s="407" t="s">
        <v>537</v>
      </c>
      <c r="B203" s="408"/>
      <c r="C203" s="408"/>
      <c r="D203" s="408"/>
      <c r="E203" s="408"/>
      <c r="F203" s="408"/>
      <c r="G203" s="408"/>
      <c r="H203" s="408"/>
      <c r="I203" s="408"/>
      <c r="J203" s="408"/>
      <c r="K203" s="408"/>
      <c r="L203" s="408"/>
      <c r="M203" s="409"/>
    </row>
    <row r="204" spans="1:13" ht="144" outlineLevel="1" thickTop="1" x14ac:dyDescent="0.35">
      <c r="A204" s="127" t="s">
        <v>62</v>
      </c>
      <c r="B204" s="127" t="s">
        <v>62</v>
      </c>
      <c r="C204" s="128" t="s">
        <v>455</v>
      </c>
      <c r="D204" s="128" t="s">
        <v>456</v>
      </c>
      <c r="E204" s="128" t="s">
        <v>457</v>
      </c>
      <c r="F204" s="128" t="s">
        <v>458</v>
      </c>
      <c r="G204" s="128" t="s">
        <v>459</v>
      </c>
      <c r="H204" s="128" t="s">
        <v>460</v>
      </c>
      <c r="I204" s="128" t="s">
        <v>461</v>
      </c>
      <c r="J204" s="128" t="s">
        <v>462</v>
      </c>
      <c r="K204" s="125" t="s">
        <v>463</v>
      </c>
      <c r="L204" s="128" t="s">
        <v>464</v>
      </c>
      <c r="M204" s="129" t="s">
        <v>465</v>
      </c>
    </row>
    <row r="205" spans="1:13" outlineLevel="1" x14ac:dyDescent="0.35">
      <c r="A205" s="130" t="s">
        <v>466</v>
      </c>
      <c r="B205" s="111" t="s">
        <v>467</v>
      </c>
      <c r="C205" s="124">
        <v>18638</v>
      </c>
      <c r="D205" s="124">
        <v>15214</v>
      </c>
      <c r="E205" s="124">
        <v>3475</v>
      </c>
      <c r="F205" s="124">
        <v>-2862</v>
      </c>
      <c r="G205" s="124">
        <v>1346</v>
      </c>
      <c r="H205" s="124">
        <v>29363</v>
      </c>
      <c r="I205" s="124">
        <v>-23</v>
      </c>
      <c r="J205" s="124">
        <v>849735</v>
      </c>
      <c r="K205" s="124">
        <v>914886</v>
      </c>
      <c r="L205" s="124">
        <v>8136</v>
      </c>
      <c r="M205" s="131">
        <v>923022</v>
      </c>
    </row>
    <row r="206" spans="1:13" s="31" customFormat="1" outlineLevel="1" x14ac:dyDescent="0.35">
      <c r="A206" s="132" t="s">
        <v>197</v>
      </c>
      <c r="B206" s="102" t="s">
        <v>198</v>
      </c>
      <c r="C206" s="8">
        <v>0</v>
      </c>
      <c r="D206" s="8">
        <v>0</v>
      </c>
      <c r="E206" s="8">
        <v>0</v>
      </c>
      <c r="F206" s="8">
        <v>0</v>
      </c>
      <c r="G206" s="8">
        <v>0</v>
      </c>
      <c r="H206" s="8">
        <v>0</v>
      </c>
      <c r="I206" s="8">
        <v>0</v>
      </c>
      <c r="J206" s="8">
        <v>113586</v>
      </c>
      <c r="K206" s="29">
        <v>113586</v>
      </c>
      <c r="L206" s="8">
        <v>1503</v>
      </c>
      <c r="M206" s="133">
        <v>115089</v>
      </c>
    </row>
    <row r="207" spans="1:13" s="31" customFormat="1" outlineLevel="1" x14ac:dyDescent="0.35">
      <c r="A207" s="132" t="s">
        <v>232</v>
      </c>
      <c r="B207" s="102" t="s">
        <v>233</v>
      </c>
      <c r="C207" s="8">
        <v>0</v>
      </c>
      <c r="D207" s="8">
        <v>0</v>
      </c>
      <c r="E207" s="8">
        <v>0</v>
      </c>
      <c r="F207" s="8">
        <v>0</v>
      </c>
      <c r="G207" s="8">
        <v>0</v>
      </c>
      <c r="H207" s="8">
        <v>37428</v>
      </c>
      <c r="I207" s="8">
        <v>0</v>
      </c>
      <c r="J207" s="8">
        <v>0</v>
      </c>
      <c r="K207" s="29">
        <v>37428</v>
      </c>
      <c r="L207" s="8">
        <v>938</v>
      </c>
      <c r="M207" s="133">
        <v>38366</v>
      </c>
    </row>
    <row r="208" spans="1:13" outlineLevel="1" x14ac:dyDescent="0.35">
      <c r="A208" s="132" t="s">
        <v>234</v>
      </c>
      <c r="B208" s="102" t="s">
        <v>235</v>
      </c>
      <c r="C208" s="8">
        <v>0</v>
      </c>
      <c r="D208" s="8">
        <v>0</v>
      </c>
      <c r="E208" s="8">
        <v>0</v>
      </c>
      <c r="F208" s="8">
        <v>0</v>
      </c>
      <c r="G208" s="8">
        <v>0</v>
      </c>
      <c r="H208" s="8">
        <v>-838</v>
      </c>
      <c r="I208" s="8">
        <v>0</v>
      </c>
      <c r="J208" s="8">
        <v>0</v>
      </c>
      <c r="K208" s="29">
        <v>-838</v>
      </c>
      <c r="L208" s="8">
        <v>0</v>
      </c>
      <c r="M208" s="133">
        <v>-838</v>
      </c>
    </row>
    <row r="209" spans="1:13" outlineLevel="1" x14ac:dyDescent="0.35">
      <c r="A209" s="132" t="s">
        <v>492</v>
      </c>
      <c r="B209" s="102" t="s">
        <v>471</v>
      </c>
      <c r="C209" s="8">
        <v>0</v>
      </c>
      <c r="D209" s="8">
        <v>0</v>
      </c>
      <c r="E209" s="8">
        <v>0</v>
      </c>
      <c r="F209" s="8">
        <v>0</v>
      </c>
      <c r="G209" s="8">
        <v>0</v>
      </c>
      <c r="H209" s="8">
        <v>0</v>
      </c>
      <c r="I209" s="8">
        <v>0</v>
      </c>
      <c r="J209" s="8">
        <v>0</v>
      </c>
      <c r="K209" s="29">
        <v>0</v>
      </c>
      <c r="L209" s="8">
        <v>0</v>
      </c>
      <c r="M209" s="133">
        <v>0</v>
      </c>
    </row>
    <row r="210" spans="1:13" outlineLevel="1" x14ac:dyDescent="0.35">
      <c r="A210" s="132" t="s">
        <v>472</v>
      </c>
      <c r="B210" s="102" t="s">
        <v>473</v>
      </c>
      <c r="C210" s="8">
        <v>0</v>
      </c>
      <c r="D210" s="8">
        <v>0</v>
      </c>
      <c r="E210" s="8">
        <v>0</v>
      </c>
      <c r="F210" s="8">
        <v>0</v>
      </c>
      <c r="G210" s="8">
        <v>-7371</v>
      </c>
      <c r="H210" s="8">
        <v>0</v>
      </c>
      <c r="I210" s="8">
        <v>0</v>
      </c>
      <c r="J210" s="8">
        <v>0</v>
      </c>
      <c r="K210" s="29">
        <v>-7371</v>
      </c>
      <c r="L210" s="8">
        <v>0</v>
      </c>
      <c r="M210" s="133">
        <v>-7371</v>
      </c>
    </row>
    <row r="211" spans="1:13" outlineLevel="1" x14ac:dyDescent="0.35">
      <c r="A211" s="132" t="s">
        <v>474</v>
      </c>
      <c r="B211" s="102" t="s">
        <v>475</v>
      </c>
      <c r="C211" s="8">
        <v>0</v>
      </c>
      <c r="D211" s="8">
        <v>0</v>
      </c>
      <c r="E211" s="8">
        <v>0</v>
      </c>
      <c r="F211" s="8">
        <v>0</v>
      </c>
      <c r="G211" s="8">
        <v>-2375</v>
      </c>
      <c r="H211" s="8">
        <v>0</v>
      </c>
      <c r="I211" s="8">
        <v>0</v>
      </c>
      <c r="J211" s="8">
        <v>2375</v>
      </c>
      <c r="K211" s="29">
        <v>0</v>
      </c>
      <c r="L211" s="8">
        <v>0</v>
      </c>
      <c r="M211" s="133">
        <v>0</v>
      </c>
    </row>
    <row r="212" spans="1:13" s="126" customFormat="1" ht="13.5" outlineLevel="1" x14ac:dyDescent="0.3">
      <c r="A212" s="132" t="s">
        <v>236</v>
      </c>
      <c r="B212" s="102" t="s">
        <v>237</v>
      </c>
      <c r="C212" s="8">
        <v>0</v>
      </c>
      <c r="D212" s="8">
        <v>0</v>
      </c>
      <c r="E212" s="8">
        <v>0</v>
      </c>
      <c r="F212" s="8">
        <v>0</v>
      </c>
      <c r="G212" s="8">
        <v>0</v>
      </c>
      <c r="H212" s="8">
        <v>0</v>
      </c>
      <c r="I212" s="8">
        <v>-8383</v>
      </c>
      <c r="J212" s="8">
        <v>0</v>
      </c>
      <c r="K212" s="29">
        <v>-8383</v>
      </c>
      <c r="L212" s="8">
        <v>0</v>
      </c>
      <c r="M212" s="133">
        <v>-8383</v>
      </c>
    </row>
    <row r="213" spans="1:13" s="31" customFormat="1" outlineLevel="1" x14ac:dyDescent="0.35">
      <c r="A213" s="132" t="s">
        <v>238</v>
      </c>
      <c r="B213" s="102" t="s">
        <v>239</v>
      </c>
      <c r="C213" s="8">
        <v>0</v>
      </c>
      <c r="D213" s="8">
        <v>0</v>
      </c>
      <c r="E213" s="8">
        <v>0</v>
      </c>
      <c r="F213" s="8">
        <v>0</v>
      </c>
      <c r="G213" s="8">
        <v>0</v>
      </c>
      <c r="H213" s="8">
        <v>0</v>
      </c>
      <c r="I213" s="8"/>
      <c r="J213" s="8">
        <v>0</v>
      </c>
      <c r="K213" s="29">
        <v>0</v>
      </c>
      <c r="L213" s="8">
        <v>0</v>
      </c>
      <c r="M213" s="133">
        <v>0</v>
      </c>
    </row>
    <row r="214" spans="1:13" outlineLevel="1" x14ac:dyDescent="0.35">
      <c r="A214" s="130" t="s">
        <v>545</v>
      </c>
      <c r="B214" s="111" t="s">
        <v>512</v>
      </c>
      <c r="C214" s="140">
        <v>0</v>
      </c>
      <c r="D214" s="140">
        <v>0</v>
      </c>
      <c r="E214" s="140">
        <v>0</v>
      </c>
      <c r="F214" s="140">
        <v>0</v>
      </c>
      <c r="G214" s="140">
        <v>-9746</v>
      </c>
      <c r="H214" s="140">
        <v>36590</v>
      </c>
      <c r="I214" s="140">
        <v>-8383</v>
      </c>
      <c r="J214" s="140">
        <v>115961</v>
      </c>
      <c r="K214" s="116">
        <v>134422</v>
      </c>
      <c r="L214" s="140">
        <v>2441</v>
      </c>
      <c r="M214" s="141">
        <v>136863</v>
      </c>
    </row>
    <row r="215" spans="1:13" outlineLevel="1" x14ac:dyDescent="0.35">
      <c r="A215" s="132" t="s">
        <v>1122</v>
      </c>
      <c r="B215" s="102" t="s">
        <v>478</v>
      </c>
      <c r="C215" s="8">
        <v>0</v>
      </c>
      <c r="D215" s="8">
        <v>0</v>
      </c>
      <c r="E215" s="8">
        <v>0</v>
      </c>
      <c r="F215" s="8">
        <v>-34</v>
      </c>
      <c r="G215" s="8">
        <v>0</v>
      </c>
      <c r="H215" s="8">
        <v>0</v>
      </c>
      <c r="I215" s="8">
        <v>0</v>
      </c>
      <c r="J215" s="8">
        <v>0</v>
      </c>
      <c r="K215" s="29">
        <v>-34</v>
      </c>
      <c r="L215" s="8">
        <v>0</v>
      </c>
      <c r="M215" s="133">
        <v>-34</v>
      </c>
    </row>
    <row r="216" spans="1:13" outlineLevel="1" x14ac:dyDescent="0.35">
      <c r="A216" s="132" t="s">
        <v>1123</v>
      </c>
      <c r="B216" s="102" t="s">
        <v>479</v>
      </c>
      <c r="C216" s="8">
        <v>0</v>
      </c>
      <c r="D216" s="8">
        <v>0</v>
      </c>
      <c r="E216" s="8">
        <v>0</v>
      </c>
      <c r="F216" s="8">
        <v>-59</v>
      </c>
      <c r="G216" s="8">
        <v>0</v>
      </c>
      <c r="H216" s="8">
        <v>0</v>
      </c>
      <c r="I216" s="8">
        <v>0</v>
      </c>
      <c r="J216" s="8">
        <v>59</v>
      </c>
      <c r="K216" s="29">
        <v>0</v>
      </c>
      <c r="L216" s="8">
        <v>0</v>
      </c>
      <c r="M216" s="133">
        <v>0</v>
      </c>
    </row>
    <row r="217" spans="1:13" outlineLevel="1" x14ac:dyDescent="0.35">
      <c r="A217" s="132" t="s">
        <v>480</v>
      </c>
      <c r="B217" s="102" t="s">
        <v>481</v>
      </c>
      <c r="C217" s="8">
        <v>0</v>
      </c>
      <c r="D217" s="8">
        <v>0</v>
      </c>
      <c r="E217" s="8">
        <v>0</v>
      </c>
      <c r="F217" s="8">
        <v>0</v>
      </c>
      <c r="G217" s="8">
        <v>0</v>
      </c>
      <c r="H217" s="8">
        <v>0</v>
      </c>
      <c r="I217" s="8">
        <v>0</v>
      </c>
      <c r="J217" s="8">
        <v>803</v>
      </c>
      <c r="K217" s="29">
        <v>803</v>
      </c>
      <c r="L217" s="8">
        <v>0</v>
      </c>
      <c r="M217" s="133">
        <v>803</v>
      </c>
    </row>
    <row r="218" spans="1:13" outlineLevel="1" x14ac:dyDescent="0.35">
      <c r="A218" s="132" t="s">
        <v>482</v>
      </c>
      <c r="B218" s="102" t="s">
        <v>483</v>
      </c>
      <c r="C218" s="8">
        <v>0</v>
      </c>
      <c r="D218" s="8">
        <v>0</v>
      </c>
      <c r="E218" s="8">
        <v>0</v>
      </c>
      <c r="F218" s="8">
        <v>0</v>
      </c>
      <c r="G218" s="8">
        <v>0</v>
      </c>
      <c r="H218" s="8">
        <v>0</v>
      </c>
      <c r="I218" s="8">
        <v>0</v>
      </c>
      <c r="J218" s="8">
        <v>-41934</v>
      </c>
      <c r="K218" s="29">
        <v>-41934</v>
      </c>
      <c r="L218" s="8">
        <v>0</v>
      </c>
      <c r="M218" s="133">
        <v>-41934</v>
      </c>
    </row>
    <row r="219" spans="1:13" outlineLevel="1" x14ac:dyDescent="0.35">
      <c r="A219" s="132" t="s">
        <v>484</v>
      </c>
      <c r="B219" s="102" t="s">
        <v>485</v>
      </c>
      <c r="C219" s="8">
        <v>0</v>
      </c>
      <c r="D219" s="8">
        <v>0</v>
      </c>
      <c r="E219" s="8">
        <v>0</v>
      </c>
      <c r="F219" s="8">
        <v>0</v>
      </c>
      <c r="G219" s="8">
        <v>0</v>
      </c>
      <c r="H219" s="8">
        <v>0</v>
      </c>
      <c r="I219" s="8">
        <v>0</v>
      </c>
      <c r="J219" s="8">
        <v>0</v>
      </c>
      <c r="K219" s="29">
        <v>0</v>
      </c>
      <c r="L219" s="8">
        <v>-47</v>
      </c>
      <c r="M219" s="133">
        <v>-47</v>
      </c>
    </row>
    <row r="220" spans="1:13" outlineLevel="1" x14ac:dyDescent="0.35">
      <c r="A220" s="132" t="s">
        <v>1126</v>
      </c>
      <c r="B220" s="102" t="s">
        <v>1127</v>
      </c>
      <c r="C220" s="8">
        <v>0</v>
      </c>
      <c r="D220" s="8">
        <v>0</v>
      </c>
      <c r="E220" s="8">
        <v>0</v>
      </c>
      <c r="F220" s="8">
        <v>0</v>
      </c>
      <c r="G220" s="8">
        <v>0</v>
      </c>
      <c r="H220" s="8">
        <v>0</v>
      </c>
      <c r="I220" s="8">
        <v>0</v>
      </c>
      <c r="J220" s="8">
        <v>0</v>
      </c>
      <c r="K220" s="29">
        <v>0</v>
      </c>
      <c r="L220" s="8">
        <v>0</v>
      </c>
      <c r="M220" s="133">
        <v>0</v>
      </c>
    </row>
    <row r="221" spans="1:13" outlineLevel="1" x14ac:dyDescent="0.35">
      <c r="A221" s="132" t="s">
        <v>1128</v>
      </c>
      <c r="B221" s="102" t="s">
        <v>1129</v>
      </c>
      <c r="C221" s="8">
        <v>0</v>
      </c>
      <c r="D221" s="8">
        <v>0</v>
      </c>
      <c r="E221" s="8">
        <v>0</v>
      </c>
      <c r="F221" s="8">
        <v>0</v>
      </c>
      <c r="G221" s="8">
        <v>0</v>
      </c>
      <c r="H221" s="8">
        <v>0</v>
      </c>
      <c r="I221" s="8">
        <v>0</v>
      </c>
      <c r="J221" s="8">
        <v>0</v>
      </c>
      <c r="K221" s="29">
        <v>0</v>
      </c>
      <c r="L221" s="8">
        <v>0</v>
      </c>
      <c r="M221" s="133">
        <v>0</v>
      </c>
    </row>
    <row r="222" spans="1:13" s="31" customFormat="1" outlineLevel="1" x14ac:dyDescent="0.35">
      <c r="A222" s="132" t="s">
        <v>549</v>
      </c>
      <c r="B222" s="102" t="s">
        <v>550</v>
      </c>
      <c r="C222" s="8">
        <v>0</v>
      </c>
      <c r="D222" s="8">
        <v>0</v>
      </c>
      <c r="E222" s="8">
        <v>0</v>
      </c>
      <c r="F222" s="138">
        <v>0</v>
      </c>
      <c r="G222" s="138">
        <v>0</v>
      </c>
      <c r="H222" s="138">
        <v>0</v>
      </c>
      <c r="I222" s="138">
        <v>0</v>
      </c>
      <c r="J222" s="138">
        <v>0</v>
      </c>
      <c r="K222" s="138">
        <v>0</v>
      </c>
      <c r="L222" s="138">
        <v>0</v>
      </c>
      <c r="M222" s="139">
        <v>0</v>
      </c>
    </row>
    <row r="223" spans="1:13" outlineLevel="1" x14ac:dyDescent="0.35">
      <c r="A223" s="130" t="s">
        <v>546</v>
      </c>
      <c r="B223" s="111" t="s">
        <v>513</v>
      </c>
      <c r="C223" s="140">
        <v>0</v>
      </c>
      <c r="D223" s="140">
        <v>0</v>
      </c>
      <c r="E223" s="140">
        <v>0</v>
      </c>
      <c r="F223" s="124">
        <v>-93</v>
      </c>
      <c r="G223" s="124">
        <v>0</v>
      </c>
      <c r="H223" s="124">
        <v>0</v>
      </c>
      <c r="I223" s="124">
        <v>0</v>
      </c>
      <c r="J223" s="124">
        <v>-41072</v>
      </c>
      <c r="K223" s="124">
        <v>-41165</v>
      </c>
      <c r="L223" s="124">
        <v>-47</v>
      </c>
      <c r="M223" s="131">
        <v>-41212</v>
      </c>
    </row>
    <row r="224" spans="1:13" outlineLevel="1" x14ac:dyDescent="0.35">
      <c r="A224" s="130" t="s">
        <v>514</v>
      </c>
      <c r="B224" s="111" t="s">
        <v>515</v>
      </c>
      <c r="C224" s="124">
        <v>18638</v>
      </c>
      <c r="D224" s="124">
        <v>15214</v>
      </c>
      <c r="E224" s="124">
        <v>3475</v>
      </c>
      <c r="F224" s="124">
        <v>-2955</v>
      </c>
      <c r="G224" s="124">
        <v>-8400</v>
      </c>
      <c r="H224" s="124">
        <v>65953</v>
      </c>
      <c r="I224" s="124">
        <v>-8406</v>
      </c>
      <c r="J224" s="124">
        <v>924624</v>
      </c>
      <c r="K224" s="124">
        <v>1008143</v>
      </c>
      <c r="L224" s="124">
        <v>10530</v>
      </c>
      <c r="M224" s="131">
        <v>1018673</v>
      </c>
    </row>
    <row r="227" spans="1:13" ht="15" thickBot="1" x14ac:dyDescent="0.4">
      <c r="A227" s="485">
        <v>2022</v>
      </c>
      <c r="B227" s="485"/>
      <c r="C227" s="485"/>
      <c r="D227" s="485"/>
      <c r="E227" s="485"/>
      <c r="F227" s="485"/>
      <c r="G227" s="485"/>
      <c r="H227" s="485"/>
      <c r="I227" s="485"/>
      <c r="J227" s="485"/>
      <c r="K227" s="485"/>
      <c r="L227" s="485"/>
      <c r="M227" s="485"/>
    </row>
    <row r="228" spans="1:13" ht="15.5" thickTop="1" thickBot="1" x14ac:dyDescent="0.4">
      <c r="A228" s="440" t="s">
        <v>530</v>
      </c>
      <c r="B228" s="441"/>
      <c r="C228" s="441"/>
      <c r="D228" s="441"/>
      <c r="E228" s="441"/>
      <c r="F228" s="441"/>
      <c r="G228" s="441"/>
      <c r="H228" s="441"/>
      <c r="I228" s="441"/>
      <c r="J228" s="441"/>
      <c r="K228" s="441"/>
      <c r="L228" s="441"/>
      <c r="M228" s="442"/>
    </row>
    <row r="229" spans="1:13" ht="144" outlineLevel="1" thickTop="1" x14ac:dyDescent="0.35">
      <c r="A229" s="127" t="s">
        <v>62</v>
      </c>
      <c r="B229" s="127" t="s">
        <v>62</v>
      </c>
      <c r="C229" s="128" t="s">
        <v>455</v>
      </c>
      <c r="D229" s="128" t="s">
        <v>456</v>
      </c>
      <c r="E229" s="128" t="s">
        <v>457</v>
      </c>
      <c r="F229" s="128" t="s">
        <v>458</v>
      </c>
      <c r="G229" s="128" t="s">
        <v>459</v>
      </c>
      <c r="H229" s="128" t="s">
        <v>460</v>
      </c>
      <c r="I229" s="128" t="s">
        <v>461</v>
      </c>
      <c r="J229" s="128" t="s">
        <v>462</v>
      </c>
      <c r="K229" s="125" t="s">
        <v>463</v>
      </c>
      <c r="L229" s="128" t="s">
        <v>464</v>
      </c>
      <c r="M229" s="129" t="s">
        <v>465</v>
      </c>
    </row>
    <row r="230" spans="1:13" outlineLevel="1" x14ac:dyDescent="0.35">
      <c r="A230" s="130" t="s">
        <v>466</v>
      </c>
      <c r="B230" s="111" t="s">
        <v>467</v>
      </c>
      <c r="C230" s="124">
        <v>18638</v>
      </c>
      <c r="D230" s="124">
        <v>15214</v>
      </c>
      <c r="E230" s="124">
        <v>3475</v>
      </c>
      <c r="F230" s="124">
        <v>-2862</v>
      </c>
      <c r="G230" s="124">
        <v>1346</v>
      </c>
      <c r="H230" s="124">
        <v>29363</v>
      </c>
      <c r="I230" s="124">
        <v>-23</v>
      </c>
      <c r="J230" s="124">
        <v>849735</v>
      </c>
      <c r="K230" s="124">
        <v>914886</v>
      </c>
      <c r="L230" s="124">
        <v>8136</v>
      </c>
      <c r="M230" s="131">
        <v>923022</v>
      </c>
    </row>
    <row r="231" spans="1:13" s="31" customFormat="1" outlineLevel="1" x14ac:dyDescent="0.35">
      <c r="A231" s="132" t="s">
        <v>197</v>
      </c>
      <c r="B231" s="102" t="s">
        <v>198</v>
      </c>
      <c r="C231" s="8">
        <v>0</v>
      </c>
      <c r="D231" s="8">
        <v>0</v>
      </c>
      <c r="E231" s="8">
        <v>0</v>
      </c>
      <c r="F231" s="8">
        <v>0</v>
      </c>
      <c r="G231" s="8">
        <v>0</v>
      </c>
      <c r="H231" s="8">
        <v>0</v>
      </c>
      <c r="I231" s="8">
        <v>0</v>
      </c>
      <c r="J231" s="8">
        <v>37054</v>
      </c>
      <c r="K231" s="29">
        <v>37054</v>
      </c>
      <c r="L231" s="8">
        <v>852</v>
      </c>
      <c r="M231" s="133">
        <v>37906</v>
      </c>
    </row>
    <row r="232" spans="1:13" s="31" customFormat="1" outlineLevel="1" x14ac:dyDescent="0.35">
      <c r="A232" s="132" t="s">
        <v>232</v>
      </c>
      <c r="B232" s="102" t="s">
        <v>233</v>
      </c>
      <c r="C232" s="8">
        <v>0</v>
      </c>
      <c r="D232" s="8">
        <v>0</v>
      </c>
      <c r="E232" s="8">
        <v>0</v>
      </c>
      <c r="F232" s="8">
        <v>0</v>
      </c>
      <c r="G232" s="8">
        <v>0</v>
      </c>
      <c r="H232" s="8">
        <v>-2591</v>
      </c>
      <c r="I232" s="8">
        <v>0</v>
      </c>
      <c r="J232" s="8">
        <v>0</v>
      </c>
      <c r="K232" s="29">
        <v>-2591</v>
      </c>
      <c r="L232" s="8">
        <v>51</v>
      </c>
      <c r="M232" s="133">
        <v>-2540</v>
      </c>
    </row>
    <row r="233" spans="1:13" outlineLevel="1" x14ac:dyDescent="0.35">
      <c r="A233" s="132" t="s">
        <v>234</v>
      </c>
      <c r="B233" s="102" t="s">
        <v>235</v>
      </c>
      <c r="C233" s="8">
        <v>0</v>
      </c>
      <c r="D233" s="8">
        <v>0</v>
      </c>
      <c r="E233" s="8">
        <v>0</v>
      </c>
      <c r="F233" s="8">
        <v>0</v>
      </c>
      <c r="G233" s="8">
        <v>0</v>
      </c>
      <c r="H233" s="8">
        <v>-459</v>
      </c>
      <c r="I233" s="8">
        <v>0</v>
      </c>
      <c r="J233" s="8">
        <v>0</v>
      </c>
      <c r="K233" s="29">
        <v>-459</v>
      </c>
      <c r="L233" s="8">
        <v>0</v>
      </c>
      <c r="M233" s="133">
        <v>-459</v>
      </c>
    </row>
    <row r="234" spans="1:13" outlineLevel="1" x14ac:dyDescent="0.35">
      <c r="A234" s="132" t="s">
        <v>492</v>
      </c>
      <c r="B234" s="102" t="s">
        <v>471</v>
      </c>
      <c r="C234" s="8">
        <v>0</v>
      </c>
      <c r="D234" s="8">
        <v>0</v>
      </c>
      <c r="E234" s="8">
        <v>0</v>
      </c>
      <c r="F234" s="8">
        <v>0</v>
      </c>
      <c r="G234" s="8">
        <v>0</v>
      </c>
      <c r="H234" s="8">
        <v>0</v>
      </c>
      <c r="I234" s="8">
        <v>0</v>
      </c>
      <c r="J234" s="8">
        <v>0</v>
      </c>
      <c r="K234" s="29">
        <v>0</v>
      </c>
      <c r="L234" s="8">
        <v>0</v>
      </c>
      <c r="M234" s="133">
        <v>0</v>
      </c>
    </row>
    <row r="235" spans="1:13" outlineLevel="1" x14ac:dyDescent="0.35">
      <c r="A235" s="132" t="s">
        <v>472</v>
      </c>
      <c r="B235" s="102" t="s">
        <v>473</v>
      </c>
      <c r="C235" s="8">
        <v>0</v>
      </c>
      <c r="D235" s="8">
        <v>0</v>
      </c>
      <c r="E235" s="8">
        <v>0</v>
      </c>
      <c r="F235" s="8">
        <v>0</v>
      </c>
      <c r="G235" s="8">
        <v>-3406</v>
      </c>
      <c r="H235" s="8">
        <v>0</v>
      </c>
      <c r="I235" s="8">
        <v>0</v>
      </c>
      <c r="J235" s="8">
        <v>0</v>
      </c>
      <c r="K235" s="29">
        <v>-3406</v>
      </c>
      <c r="L235" s="8">
        <v>0</v>
      </c>
      <c r="M235" s="133">
        <v>-3406</v>
      </c>
    </row>
    <row r="236" spans="1:13" outlineLevel="1" x14ac:dyDescent="0.35">
      <c r="A236" s="132" t="s">
        <v>572</v>
      </c>
      <c r="B236" s="102" t="s">
        <v>567</v>
      </c>
      <c r="C236" s="8">
        <v>0</v>
      </c>
      <c r="D236" s="8">
        <v>0</v>
      </c>
      <c r="E236" s="8">
        <v>0</v>
      </c>
      <c r="F236" s="8">
        <v>0</v>
      </c>
      <c r="G236" s="8">
        <v>0</v>
      </c>
      <c r="H236" s="8">
        <v>0</v>
      </c>
      <c r="I236" s="8">
        <v>0</v>
      </c>
      <c r="J236" s="8">
        <v>0</v>
      </c>
      <c r="K236" s="29">
        <v>0</v>
      </c>
      <c r="L236" s="8">
        <v>0</v>
      </c>
      <c r="M236" s="133">
        <v>0</v>
      </c>
    </row>
    <row r="237" spans="1:13" outlineLevel="1" x14ac:dyDescent="0.35">
      <c r="A237" s="132" t="s">
        <v>236</v>
      </c>
      <c r="B237" s="102" t="s">
        <v>237</v>
      </c>
      <c r="C237" s="8">
        <v>0</v>
      </c>
      <c r="D237" s="8">
        <v>0</v>
      </c>
      <c r="E237" s="8">
        <v>0</v>
      </c>
      <c r="F237" s="8">
        <v>0</v>
      </c>
      <c r="G237" s="8">
        <v>0</v>
      </c>
      <c r="H237" s="8">
        <v>0</v>
      </c>
      <c r="I237" s="8">
        <v>-1155</v>
      </c>
      <c r="J237" s="8">
        <v>0</v>
      </c>
      <c r="K237" s="29">
        <v>-1155</v>
      </c>
      <c r="L237" s="8">
        <v>0</v>
      </c>
      <c r="M237" s="133">
        <v>-1155</v>
      </c>
    </row>
    <row r="238" spans="1:13" s="126" customFormat="1" ht="13.5" outlineLevel="1" x14ac:dyDescent="0.3">
      <c r="A238" s="132" t="s">
        <v>238</v>
      </c>
      <c r="B238" s="102" t="s">
        <v>239</v>
      </c>
      <c r="C238" s="8">
        <v>0</v>
      </c>
      <c r="D238" s="8">
        <v>0</v>
      </c>
      <c r="E238" s="8">
        <v>0</v>
      </c>
      <c r="F238" s="8">
        <v>0</v>
      </c>
      <c r="G238" s="8">
        <v>0</v>
      </c>
      <c r="H238" s="8">
        <v>0</v>
      </c>
      <c r="I238" s="8"/>
      <c r="J238" s="8">
        <v>0</v>
      </c>
      <c r="K238" s="29">
        <v>0</v>
      </c>
      <c r="L238" s="8">
        <v>0</v>
      </c>
      <c r="M238" s="133">
        <v>0</v>
      </c>
    </row>
    <row r="239" spans="1:13" s="31" customFormat="1" outlineLevel="1" x14ac:dyDescent="0.35">
      <c r="A239" s="130" t="s">
        <v>502</v>
      </c>
      <c r="B239" s="111" t="s">
        <v>535</v>
      </c>
      <c r="C239" s="140">
        <v>0</v>
      </c>
      <c r="D239" s="140">
        <v>0</v>
      </c>
      <c r="E239" s="140">
        <v>0</v>
      </c>
      <c r="F239" s="140">
        <v>0</v>
      </c>
      <c r="G239" s="140">
        <v>-3406</v>
      </c>
      <c r="H239" s="140">
        <v>-3050</v>
      </c>
      <c r="I239" s="140">
        <v>-1155</v>
      </c>
      <c r="J239" s="140">
        <v>37054</v>
      </c>
      <c r="K239" s="116">
        <v>29443</v>
      </c>
      <c r="L239" s="140">
        <v>903</v>
      </c>
      <c r="M239" s="141">
        <v>30346</v>
      </c>
    </row>
    <row r="240" spans="1:13" outlineLevel="1" x14ac:dyDescent="0.35">
      <c r="A240" s="132" t="s">
        <v>1122</v>
      </c>
      <c r="B240" s="102" t="s">
        <v>478</v>
      </c>
      <c r="C240" s="8">
        <v>0</v>
      </c>
      <c r="D240" s="8">
        <v>0</v>
      </c>
      <c r="E240" s="8">
        <v>0</v>
      </c>
      <c r="F240" s="8">
        <v>-79</v>
      </c>
      <c r="G240" s="8">
        <v>0</v>
      </c>
      <c r="H240" s="8">
        <v>0</v>
      </c>
      <c r="I240" s="8">
        <v>0</v>
      </c>
      <c r="J240" s="8">
        <v>0</v>
      </c>
      <c r="K240" s="29">
        <v>-79</v>
      </c>
      <c r="L240" s="8">
        <v>0</v>
      </c>
      <c r="M240" s="133">
        <v>-79</v>
      </c>
    </row>
    <row r="241" spans="1:13" outlineLevel="1" x14ac:dyDescent="0.35">
      <c r="A241" s="132" t="s">
        <v>1123</v>
      </c>
      <c r="B241" s="102" t="s">
        <v>479</v>
      </c>
      <c r="C241" s="8">
        <v>0</v>
      </c>
      <c r="D241" s="8">
        <v>0</v>
      </c>
      <c r="E241" s="8">
        <v>0</v>
      </c>
      <c r="F241" s="8">
        <v>0</v>
      </c>
      <c r="G241" s="8">
        <v>0</v>
      </c>
      <c r="H241" s="8">
        <v>0</v>
      </c>
      <c r="I241" s="8">
        <v>0</v>
      </c>
      <c r="J241" s="8">
        <v>0</v>
      </c>
      <c r="K241" s="29">
        <v>0</v>
      </c>
      <c r="L241" s="8">
        <v>0</v>
      </c>
      <c r="M241" s="133">
        <v>0</v>
      </c>
    </row>
    <row r="242" spans="1:13" outlineLevel="1" x14ac:dyDescent="0.35">
      <c r="A242" s="132" t="s">
        <v>480</v>
      </c>
      <c r="B242" s="102" t="s">
        <v>481</v>
      </c>
      <c r="C242" s="8">
        <v>0</v>
      </c>
      <c r="D242" s="8">
        <v>0</v>
      </c>
      <c r="E242" s="8">
        <v>0</v>
      </c>
      <c r="F242" s="8">
        <v>0</v>
      </c>
      <c r="G242" s="8">
        <v>0</v>
      </c>
      <c r="H242" s="8">
        <v>0</v>
      </c>
      <c r="I242" s="8">
        <v>0</v>
      </c>
      <c r="J242" s="8">
        <v>447</v>
      </c>
      <c r="K242" s="29">
        <v>447</v>
      </c>
      <c r="L242" s="8">
        <v>0</v>
      </c>
      <c r="M242" s="133">
        <v>447</v>
      </c>
    </row>
    <row r="243" spans="1:13" outlineLevel="1" x14ac:dyDescent="0.35">
      <c r="A243" s="132" t="s">
        <v>482</v>
      </c>
      <c r="B243" s="102" t="s">
        <v>483</v>
      </c>
      <c r="C243" s="8">
        <v>0</v>
      </c>
      <c r="D243" s="8">
        <v>0</v>
      </c>
      <c r="E243" s="8">
        <v>0</v>
      </c>
      <c r="F243" s="8">
        <v>0</v>
      </c>
      <c r="G243" s="8">
        <v>0</v>
      </c>
      <c r="H243" s="8">
        <v>0</v>
      </c>
      <c r="I243" s="8">
        <v>0</v>
      </c>
      <c r="J243" s="8">
        <v>0</v>
      </c>
      <c r="K243" s="29">
        <v>0</v>
      </c>
      <c r="L243" s="8">
        <v>0</v>
      </c>
      <c r="M243" s="133">
        <v>0</v>
      </c>
    </row>
    <row r="244" spans="1:13" outlineLevel="1" x14ac:dyDescent="0.35">
      <c r="A244" s="132" t="s">
        <v>484</v>
      </c>
      <c r="B244" s="102" t="s">
        <v>485</v>
      </c>
      <c r="C244" s="8">
        <v>0</v>
      </c>
      <c r="D244" s="8">
        <v>0</v>
      </c>
      <c r="E244" s="8">
        <v>0</v>
      </c>
      <c r="F244" s="8">
        <v>0</v>
      </c>
      <c r="G244" s="8">
        <v>0</v>
      </c>
      <c r="H244" s="8">
        <v>0</v>
      </c>
      <c r="I244" s="8">
        <v>0</v>
      </c>
      <c r="J244" s="8">
        <v>0</v>
      </c>
      <c r="K244" s="29">
        <v>0</v>
      </c>
      <c r="L244" s="8">
        <v>-32</v>
      </c>
      <c r="M244" s="133">
        <v>-32</v>
      </c>
    </row>
    <row r="245" spans="1:13" outlineLevel="1" x14ac:dyDescent="0.35">
      <c r="A245" s="132" t="s">
        <v>1126</v>
      </c>
      <c r="B245" s="102" t="s">
        <v>1127</v>
      </c>
      <c r="C245" s="8">
        <v>0</v>
      </c>
      <c r="D245" s="8">
        <v>0</v>
      </c>
      <c r="E245" s="8">
        <v>0</v>
      </c>
      <c r="F245" s="8">
        <v>0</v>
      </c>
      <c r="G245" s="8">
        <v>0</v>
      </c>
      <c r="H245" s="8">
        <v>0</v>
      </c>
      <c r="I245" s="8">
        <v>0</v>
      </c>
      <c r="J245" s="8">
        <v>0</v>
      </c>
      <c r="K245" s="29">
        <v>0</v>
      </c>
      <c r="L245" s="8">
        <v>0</v>
      </c>
      <c r="M245" s="133">
        <v>0</v>
      </c>
    </row>
    <row r="246" spans="1:13" outlineLevel="1" x14ac:dyDescent="0.35">
      <c r="A246" s="132" t="s">
        <v>1128</v>
      </c>
      <c r="B246" s="102" t="s">
        <v>1129</v>
      </c>
      <c r="C246" s="8">
        <v>0</v>
      </c>
      <c r="D246" s="8">
        <v>0</v>
      </c>
      <c r="E246" s="8">
        <v>0</v>
      </c>
      <c r="F246" s="8">
        <v>0</v>
      </c>
      <c r="G246" s="8">
        <v>0</v>
      </c>
      <c r="H246" s="8">
        <v>0</v>
      </c>
      <c r="I246" s="8">
        <v>0</v>
      </c>
      <c r="J246" s="8">
        <v>0</v>
      </c>
      <c r="K246" s="29">
        <v>0</v>
      </c>
      <c r="L246" s="8">
        <v>0</v>
      </c>
      <c r="M246" s="133">
        <v>0</v>
      </c>
    </row>
    <row r="247" spans="1:13" outlineLevel="1" x14ac:dyDescent="0.35">
      <c r="A247" s="132" t="s">
        <v>549</v>
      </c>
      <c r="B247" s="102" t="s">
        <v>550</v>
      </c>
      <c r="C247" s="8">
        <v>0</v>
      </c>
      <c r="D247" s="8">
        <v>0</v>
      </c>
      <c r="E247" s="8">
        <v>0</v>
      </c>
      <c r="F247" s="8">
        <v>0</v>
      </c>
      <c r="G247" s="8">
        <v>0</v>
      </c>
      <c r="H247" s="8">
        <v>0</v>
      </c>
      <c r="I247" s="8">
        <v>0</v>
      </c>
      <c r="J247" s="8">
        <v>0</v>
      </c>
      <c r="K247" s="29">
        <v>0</v>
      </c>
      <c r="L247" s="8">
        <v>0</v>
      </c>
      <c r="M247" s="133">
        <v>0</v>
      </c>
    </row>
    <row r="248" spans="1:13" s="31" customFormat="1" outlineLevel="1" x14ac:dyDescent="0.35">
      <c r="A248" s="130" t="s">
        <v>536</v>
      </c>
      <c r="B248" s="111" t="s">
        <v>503</v>
      </c>
      <c r="C248" s="124">
        <v>0</v>
      </c>
      <c r="D248" s="124">
        <v>0</v>
      </c>
      <c r="E248" s="124">
        <v>0</v>
      </c>
      <c r="F248" s="124">
        <v>-79</v>
      </c>
      <c r="G248" s="124">
        <v>0</v>
      </c>
      <c r="H248" s="124">
        <v>0</v>
      </c>
      <c r="I248" s="124">
        <v>0</v>
      </c>
      <c r="J248" s="124">
        <v>447</v>
      </c>
      <c r="K248" s="124">
        <v>368</v>
      </c>
      <c r="L248" s="124">
        <v>-32</v>
      </c>
      <c r="M248" s="131">
        <v>336</v>
      </c>
    </row>
    <row r="249" spans="1:13" ht="15" outlineLevel="1" thickBot="1" x14ac:dyDescent="0.4">
      <c r="A249" s="135" t="s">
        <v>504</v>
      </c>
      <c r="B249" s="223" t="s">
        <v>505</v>
      </c>
      <c r="C249" s="136">
        <v>18638</v>
      </c>
      <c r="D249" s="136">
        <v>15214</v>
      </c>
      <c r="E249" s="136">
        <v>3475</v>
      </c>
      <c r="F249" s="136">
        <v>-2941</v>
      </c>
      <c r="G249" s="136">
        <v>-2060</v>
      </c>
      <c r="H249" s="136">
        <v>26313</v>
      </c>
      <c r="I249" s="136">
        <v>-1178</v>
      </c>
      <c r="J249" s="136">
        <v>887236</v>
      </c>
      <c r="K249" s="136">
        <v>944697</v>
      </c>
      <c r="L249" s="136">
        <v>9007</v>
      </c>
      <c r="M249" s="137">
        <v>953704</v>
      </c>
    </row>
    <row r="250" spans="1:13" ht="15" thickTop="1" x14ac:dyDescent="0.35"/>
    <row r="251" spans="1:13" ht="15" thickBot="1" x14ac:dyDescent="0.4"/>
    <row r="252" spans="1:13" ht="15.5" thickTop="1" thickBot="1" x14ac:dyDescent="0.4">
      <c r="A252" s="404">
        <v>2021</v>
      </c>
      <c r="B252" s="405"/>
      <c r="C252" s="405"/>
      <c r="D252" s="405"/>
      <c r="E252" s="405"/>
      <c r="F252" s="405"/>
      <c r="G252" s="405"/>
      <c r="H252" s="405"/>
      <c r="I252" s="405"/>
      <c r="J252" s="405"/>
      <c r="K252" s="405"/>
      <c r="L252" s="405"/>
      <c r="M252" s="406"/>
    </row>
    <row r="253" spans="1:13" ht="15.5" thickTop="1" thickBot="1" x14ac:dyDescent="0.4">
      <c r="A253" s="440" t="s">
        <v>571</v>
      </c>
      <c r="B253" s="441"/>
      <c r="C253" s="441"/>
      <c r="D253" s="441"/>
      <c r="E253" s="441"/>
      <c r="F253" s="441"/>
      <c r="G253" s="441"/>
      <c r="H253" s="441"/>
      <c r="I253" s="441"/>
      <c r="J253" s="441"/>
      <c r="K253" s="441"/>
      <c r="L253" s="441"/>
      <c r="M253" s="442"/>
    </row>
    <row r="254" spans="1:13" ht="144" outlineLevel="1" thickTop="1" x14ac:dyDescent="0.35">
      <c r="A254" s="127" t="s">
        <v>62</v>
      </c>
      <c r="B254" s="127" t="s">
        <v>62</v>
      </c>
      <c r="C254" s="128" t="s">
        <v>455</v>
      </c>
      <c r="D254" s="128" t="s">
        <v>456</v>
      </c>
      <c r="E254" s="128" t="s">
        <v>457</v>
      </c>
      <c r="F254" s="128" t="s">
        <v>458</v>
      </c>
      <c r="G254" s="128" t="s">
        <v>459</v>
      </c>
      <c r="H254" s="128" t="s">
        <v>460</v>
      </c>
      <c r="I254" s="128" t="s">
        <v>461</v>
      </c>
      <c r="J254" s="128" t="s">
        <v>462</v>
      </c>
      <c r="K254" s="125" t="s">
        <v>463</v>
      </c>
      <c r="L254" s="128" t="s">
        <v>464</v>
      </c>
      <c r="M254" s="129" t="s">
        <v>465</v>
      </c>
    </row>
    <row r="255" spans="1:13" outlineLevel="1" x14ac:dyDescent="0.35">
      <c r="A255" s="130" t="s">
        <v>558</v>
      </c>
      <c r="B255" s="111" t="s">
        <v>1140</v>
      </c>
      <c r="C255" s="124">
        <v>18638</v>
      </c>
      <c r="D255" s="124">
        <v>15214</v>
      </c>
      <c r="E255" s="124">
        <v>3475</v>
      </c>
      <c r="F255" s="124">
        <v>-3791</v>
      </c>
      <c r="G255" s="124">
        <v>974</v>
      </c>
      <c r="H255" s="124">
        <v>21039</v>
      </c>
      <c r="I255" s="142" t="s">
        <v>178</v>
      </c>
      <c r="J255" s="124">
        <v>751408</v>
      </c>
      <c r="K255" s="124">
        <v>806957</v>
      </c>
      <c r="L255" s="124">
        <v>6982</v>
      </c>
      <c r="M255" s="131">
        <v>813939</v>
      </c>
    </row>
    <row r="256" spans="1:13" s="31" customFormat="1" outlineLevel="1" x14ac:dyDescent="0.35">
      <c r="A256" s="132" t="s">
        <v>490</v>
      </c>
      <c r="B256" s="102" t="s">
        <v>491</v>
      </c>
      <c r="C256" s="119">
        <v>0</v>
      </c>
      <c r="D256" s="119">
        <v>0</v>
      </c>
      <c r="E256" s="119">
        <v>0</v>
      </c>
      <c r="F256" s="119">
        <v>0</v>
      </c>
      <c r="G256" s="119">
        <v>0</v>
      </c>
      <c r="H256" s="119">
        <v>0</v>
      </c>
      <c r="I256" s="119">
        <v>0</v>
      </c>
      <c r="J256" s="8">
        <v>139626</v>
      </c>
      <c r="K256" s="29">
        <v>139626</v>
      </c>
      <c r="L256" s="8">
        <v>1554</v>
      </c>
      <c r="M256" s="133">
        <v>141180</v>
      </c>
    </row>
    <row r="257" spans="1:13" s="31" customFormat="1" outlineLevel="1" x14ac:dyDescent="0.35">
      <c r="A257" s="132" t="s">
        <v>232</v>
      </c>
      <c r="B257" s="102" t="s">
        <v>233</v>
      </c>
      <c r="C257" s="119">
        <v>0</v>
      </c>
      <c r="D257" s="119">
        <v>0</v>
      </c>
      <c r="E257" s="119">
        <v>0</v>
      </c>
      <c r="F257" s="119">
        <v>0</v>
      </c>
      <c r="G257" s="119">
        <v>0</v>
      </c>
      <c r="H257" s="8">
        <v>8377</v>
      </c>
      <c r="I257" s="119">
        <v>0</v>
      </c>
      <c r="J257" s="119">
        <v>0</v>
      </c>
      <c r="K257" s="29">
        <v>8377</v>
      </c>
      <c r="L257" s="8">
        <v>249</v>
      </c>
      <c r="M257" s="133">
        <v>8626</v>
      </c>
    </row>
    <row r="258" spans="1:13" outlineLevel="1" x14ac:dyDescent="0.35">
      <c r="A258" s="132" t="s">
        <v>234</v>
      </c>
      <c r="B258" s="102" t="s">
        <v>235</v>
      </c>
      <c r="C258" s="119">
        <v>0</v>
      </c>
      <c r="D258" s="119">
        <v>0</v>
      </c>
      <c r="E258" s="119">
        <v>0</v>
      </c>
      <c r="F258" s="119">
        <v>0</v>
      </c>
      <c r="G258" s="119">
        <v>0</v>
      </c>
      <c r="H258" s="8">
        <v>-53</v>
      </c>
      <c r="I258" s="119">
        <v>0</v>
      </c>
      <c r="J258" s="119">
        <v>0</v>
      </c>
      <c r="K258" s="29">
        <v>-53</v>
      </c>
      <c r="L258" s="119">
        <v>0</v>
      </c>
      <c r="M258" s="133">
        <v>-53</v>
      </c>
    </row>
    <row r="259" spans="1:13" outlineLevel="1" x14ac:dyDescent="0.35">
      <c r="A259" s="132" t="s">
        <v>1138</v>
      </c>
      <c r="B259" s="102" t="s">
        <v>1139</v>
      </c>
      <c r="C259" s="119">
        <v>0</v>
      </c>
      <c r="D259" s="119">
        <v>0</v>
      </c>
      <c r="E259" s="119">
        <v>0</v>
      </c>
      <c r="F259" s="119">
        <v>0</v>
      </c>
      <c r="G259" s="119">
        <v>0</v>
      </c>
      <c r="H259" s="119">
        <v>0</v>
      </c>
      <c r="I259" s="119">
        <v>0</v>
      </c>
      <c r="J259" s="8">
        <v>631</v>
      </c>
      <c r="K259" s="29">
        <v>631</v>
      </c>
      <c r="L259" s="119">
        <v>0</v>
      </c>
      <c r="M259" s="133">
        <v>631</v>
      </c>
    </row>
    <row r="260" spans="1:13" outlineLevel="1" x14ac:dyDescent="0.35">
      <c r="A260" s="132" t="s">
        <v>568</v>
      </c>
      <c r="B260" s="102" t="s">
        <v>473</v>
      </c>
      <c r="C260" s="119">
        <v>0</v>
      </c>
      <c r="D260" s="119">
        <v>0</v>
      </c>
      <c r="E260" s="119">
        <v>0</v>
      </c>
      <c r="F260" s="119">
        <v>0</v>
      </c>
      <c r="G260" s="119">
        <v>372</v>
      </c>
      <c r="H260" s="119">
        <v>0</v>
      </c>
      <c r="I260" s="119">
        <v>0</v>
      </c>
      <c r="J260" s="8">
        <v>162</v>
      </c>
      <c r="K260" s="29">
        <v>534</v>
      </c>
      <c r="L260" s="119">
        <v>0</v>
      </c>
      <c r="M260" s="133">
        <v>534</v>
      </c>
    </row>
    <row r="261" spans="1:13" outlineLevel="1" x14ac:dyDescent="0.35">
      <c r="A261" s="132" t="s">
        <v>566</v>
      </c>
      <c r="B261" s="102" t="s">
        <v>567</v>
      </c>
      <c r="C261" s="119">
        <v>0</v>
      </c>
      <c r="D261" s="119">
        <v>0</v>
      </c>
      <c r="E261" s="119">
        <v>0</v>
      </c>
      <c r="F261" s="119">
        <v>0</v>
      </c>
      <c r="G261" s="119">
        <v>0</v>
      </c>
      <c r="H261" s="119">
        <v>0</v>
      </c>
      <c r="I261" s="119">
        <v>0</v>
      </c>
      <c r="J261" s="8">
        <v>0</v>
      </c>
      <c r="K261" s="29">
        <v>0</v>
      </c>
      <c r="L261" s="119">
        <v>0</v>
      </c>
      <c r="M261" s="133">
        <v>0</v>
      </c>
    </row>
    <row r="262" spans="1:13" s="126" customFormat="1" ht="13.5" outlineLevel="1" x14ac:dyDescent="0.3">
      <c r="A262" s="132" t="s">
        <v>236</v>
      </c>
      <c r="B262" s="102" t="s">
        <v>237</v>
      </c>
      <c r="C262" s="119">
        <v>0</v>
      </c>
      <c r="D262" s="119">
        <v>0</v>
      </c>
      <c r="E262" s="119">
        <v>0</v>
      </c>
      <c r="F262" s="119">
        <v>0</v>
      </c>
      <c r="G262" s="8">
        <v>0</v>
      </c>
      <c r="H262" s="119">
        <v>0</v>
      </c>
      <c r="I262" s="119">
        <v>-23</v>
      </c>
      <c r="J262" s="119">
        <v>0</v>
      </c>
      <c r="K262" s="29">
        <v>-23</v>
      </c>
      <c r="L262" s="119">
        <v>0</v>
      </c>
      <c r="M262" s="133">
        <v>-23</v>
      </c>
    </row>
    <row r="263" spans="1:13" s="31" customFormat="1" outlineLevel="1" x14ac:dyDescent="0.35">
      <c r="A263" s="132" t="s">
        <v>238</v>
      </c>
      <c r="B263" s="102" t="s">
        <v>239</v>
      </c>
      <c r="C263" s="119">
        <v>0</v>
      </c>
      <c r="D263" s="119">
        <v>0</v>
      </c>
      <c r="E263" s="119">
        <v>0</v>
      </c>
      <c r="F263" s="119">
        <v>0</v>
      </c>
      <c r="G263" s="119">
        <v>0</v>
      </c>
      <c r="H263" s="119">
        <v>0</v>
      </c>
      <c r="I263" s="119"/>
      <c r="J263" s="119">
        <v>0</v>
      </c>
      <c r="K263" s="29">
        <v>0</v>
      </c>
      <c r="L263" s="119">
        <v>0</v>
      </c>
      <c r="M263" s="133">
        <v>0</v>
      </c>
    </row>
    <row r="264" spans="1:13" outlineLevel="1" x14ac:dyDescent="0.35">
      <c r="A264" s="130" t="s">
        <v>1141</v>
      </c>
      <c r="B264" s="111" t="s">
        <v>559</v>
      </c>
      <c r="C264" s="143">
        <v>0</v>
      </c>
      <c r="D264" s="143">
        <v>0</v>
      </c>
      <c r="E264" s="143">
        <v>0</v>
      </c>
      <c r="F264" s="143">
        <v>0</v>
      </c>
      <c r="G264" s="124">
        <v>372</v>
      </c>
      <c r="H264" s="124">
        <v>8324</v>
      </c>
      <c r="I264" s="124">
        <v>-23</v>
      </c>
      <c r="J264" s="124">
        <v>140419</v>
      </c>
      <c r="K264" s="124">
        <v>149092</v>
      </c>
      <c r="L264" s="143">
        <v>1803</v>
      </c>
      <c r="M264" s="131">
        <v>150895</v>
      </c>
    </row>
    <row r="265" spans="1:13" outlineLevel="1" x14ac:dyDescent="0.35">
      <c r="A265" s="132" t="s">
        <v>1122</v>
      </c>
      <c r="B265" s="102" t="s">
        <v>478</v>
      </c>
      <c r="C265" s="119">
        <v>0</v>
      </c>
      <c r="D265" s="119">
        <v>0</v>
      </c>
      <c r="E265" s="119">
        <v>0</v>
      </c>
      <c r="F265" s="8">
        <v>-819</v>
      </c>
      <c r="G265" s="119">
        <v>0</v>
      </c>
      <c r="H265" s="119">
        <v>0</v>
      </c>
      <c r="I265" s="119">
        <v>0</v>
      </c>
      <c r="J265" s="8">
        <v>0</v>
      </c>
      <c r="K265" s="119">
        <v>-819</v>
      </c>
      <c r="L265" s="119">
        <v>0</v>
      </c>
      <c r="M265" s="144">
        <v>-819</v>
      </c>
    </row>
    <row r="266" spans="1:13" outlineLevel="1" x14ac:dyDescent="0.35">
      <c r="A266" s="132" t="s">
        <v>1123</v>
      </c>
      <c r="B266" s="102" t="s">
        <v>479</v>
      </c>
      <c r="C266" s="119">
        <v>0</v>
      </c>
      <c r="D266" s="119">
        <v>0</v>
      </c>
      <c r="E266" s="119">
        <v>0</v>
      </c>
      <c r="F266" s="119">
        <v>1748</v>
      </c>
      <c r="G266" s="119">
        <v>0</v>
      </c>
      <c r="H266" s="119">
        <v>0</v>
      </c>
      <c r="I266" s="119">
        <v>0</v>
      </c>
      <c r="J266" s="8">
        <v>-1748</v>
      </c>
      <c r="K266" s="29">
        <v>0</v>
      </c>
      <c r="L266" s="119">
        <v>0</v>
      </c>
      <c r="M266" s="133">
        <v>0</v>
      </c>
    </row>
    <row r="267" spans="1:13" outlineLevel="1" x14ac:dyDescent="0.35">
      <c r="A267" s="132" t="s">
        <v>480</v>
      </c>
      <c r="B267" s="102" t="s">
        <v>481</v>
      </c>
      <c r="C267" s="119">
        <v>0</v>
      </c>
      <c r="D267" s="119">
        <v>0</v>
      </c>
      <c r="E267" s="119">
        <v>0</v>
      </c>
      <c r="F267" s="119">
        <v>0</v>
      </c>
      <c r="G267" s="119">
        <v>0</v>
      </c>
      <c r="H267" s="119">
        <v>0</v>
      </c>
      <c r="I267" s="119">
        <v>0</v>
      </c>
      <c r="J267" s="8">
        <v>1590</v>
      </c>
      <c r="K267" s="29">
        <v>1590</v>
      </c>
      <c r="L267" s="119">
        <v>0</v>
      </c>
      <c r="M267" s="133">
        <v>1590</v>
      </c>
    </row>
    <row r="268" spans="1:13" outlineLevel="1" x14ac:dyDescent="0.35">
      <c r="A268" s="132" t="s">
        <v>539</v>
      </c>
      <c r="B268" s="102" t="s">
        <v>540</v>
      </c>
      <c r="C268" s="119">
        <v>0</v>
      </c>
      <c r="D268" s="119">
        <v>0</v>
      </c>
      <c r="E268" s="119">
        <v>0</v>
      </c>
      <c r="F268" s="119">
        <v>0</v>
      </c>
      <c r="G268" s="119">
        <v>0</v>
      </c>
      <c r="H268" s="119">
        <v>0</v>
      </c>
      <c r="I268" s="119">
        <v>0</v>
      </c>
      <c r="J268" s="8">
        <v>-41934</v>
      </c>
      <c r="K268" s="29">
        <v>-41934</v>
      </c>
      <c r="L268" s="119">
        <v>0</v>
      </c>
      <c r="M268" s="133">
        <v>-41934</v>
      </c>
    </row>
    <row r="269" spans="1:13" outlineLevel="1" x14ac:dyDescent="0.35">
      <c r="A269" s="132" t="s">
        <v>484</v>
      </c>
      <c r="B269" s="102" t="s">
        <v>485</v>
      </c>
      <c r="C269" s="119">
        <v>0</v>
      </c>
      <c r="D269" s="119">
        <v>0</v>
      </c>
      <c r="E269" s="119">
        <v>0</v>
      </c>
      <c r="F269" s="119">
        <v>0</v>
      </c>
      <c r="G269" s="119">
        <v>0</v>
      </c>
      <c r="H269" s="119">
        <v>0</v>
      </c>
      <c r="I269" s="119">
        <v>0</v>
      </c>
      <c r="J269" s="8">
        <v>0</v>
      </c>
      <c r="K269" s="29">
        <v>0</v>
      </c>
      <c r="L269" s="119">
        <v>-206</v>
      </c>
      <c r="M269" s="133">
        <v>-206</v>
      </c>
    </row>
    <row r="270" spans="1:13" outlineLevel="1" x14ac:dyDescent="0.35">
      <c r="A270" s="132" t="s">
        <v>1126</v>
      </c>
      <c r="B270" s="102" t="s">
        <v>1127</v>
      </c>
      <c r="C270" s="119">
        <v>0</v>
      </c>
      <c r="D270" s="119">
        <v>0</v>
      </c>
      <c r="E270" s="119">
        <v>0</v>
      </c>
      <c r="F270" s="119">
        <v>0</v>
      </c>
      <c r="G270" s="119">
        <v>0</v>
      </c>
      <c r="H270" s="119">
        <v>0</v>
      </c>
      <c r="I270" s="119">
        <v>0</v>
      </c>
      <c r="J270" s="8">
        <v>0</v>
      </c>
      <c r="K270" s="29">
        <v>0</v>
      </c>
      <c r="L270" s="119">
        <v>0</v>
      </c>
      <c r="M270" s="133">
        <v>0</v>
      </c>
    </row>
    <row r="271" spans="1:13" outlineLevel="1" x14ac:dyDescent="0.35">
      <c r="A271" s="132" t="s">
        <v>1128</v>
      </c>
      <c r="B271" s="102" t="s">
        <v>1129</v>
      </c>
      <c r="C271" s="119">
        <v>0</v>
      </c>
      <c r="D271" s="119">
        <v>0</v>
      </c>
      <c r="E271" s="119">
        <v>0</v>
      </c>
      <c r="F271" s="119">
        <v>0</v>
      </c>
      <c r="G271" s="119">
        <v>0</v>
      </c>
      <c r="H271" s="119">
        <v>0</v>
      </c>
      <c r="I271" s="119">
        <v>0</v>
      </c>
      <c r="J271" s="119">
        <v>0</v>
      </c>
      <c r="K271" s="119">
        <v>0</v>
      </c>
      <c r="L271" s="8">
        <v>0</v>
      </c>
      <c r="M271" s="133">
        <v>0</v>
      </c>
    </row>
    <row r="272" spans="1:13" s="31" customFormat="1" outlineLevel="1" x14ac:dyDescent="0.35">
      <c r="A272" s="132" t="s">
        <v>549</v>
      </c>
      <c r="B272" s="102" t="s">
        <v>550</v>
      </c>
      <c r="C272" s="119">
        <v>0</v>
      </c>
      <c r="D272" s="119">
        <v>0</v>
      </c>
      <c r="E272" s="119">
        <v>0</v>
      </c>
      <c r="F272" s="119">
        <v>0</v>
      </c>
      <c r="G272" s="119">
        <v>0</v>
      </c>
      <c r="H272" s="119">
        <v>0</v>
      </c>
      <c r="I272" s="119">
        <v>0</v>
      </c>
      <c r="J272" s="119">
        <v>0</v>
      </c>
      <c r="K272" s="119">
        <v>0</v>
      </c>
      <c r="L272" s="8">
        <v>-443</v>
      </c>
      <c r="M272" s="133">
        <v>-443</v>
      </c>
    </row>
    <row r="273" spans="1:13" outlineLevel="1" x14ac:dyDescent="0.35">
      <c r="A273" s="130" t="s">
        <v>1142</v>
      </c>
      <c r="B273" s="111" t="s">
        <v>560</v>
      </c>
      <c r="C273" s="143">
        <v>0</v>
      </c>
      <c r="D273" s="143">
        <v>0</v>
      </c>
      <c r="E273" s="143">
        <v>0</v>
      </c>
      <c r="F273" s="124">
        <v>929</v>
      </c>
      <c r="G273" s="143">
        <v>0</v>
      </c>
      <c r="H273" s="143">
        <v>0</v>
      </c>
      <c r="I273" s="143">
        <v>0</v>
      </c>
      <c r="J273" s="124">
        <v>-42092</v>
      </c>
      <c r="K273" s="124">
        <v>-41163</v>
      </c>
      <c r="L273" s="124">
        <v>-649</v>
      </c>
      <c r="M273" s="131">
        <v>-41812</v>
      </c>
    </row>
    <row r="274" spans="1:13" ht="15" outlineLevel="1" thickBot="1" x14ac:dyDescent="0.4">
      <c r="A274" s="135" t="s">
        <v>500</v>
      </c>
      <c r="B274" s="223" t="s">
        <v>501</v>
      </c>
      <c r="C274" s="136">
        <v>18638</v>
      </c>
      <c r="D274" s="136">
        <v>15214</v>
      </c>
      <c r="E274" s="136">
        <v>3475</v>
      </c>
      <c r="F274" s="136">
        <v>-2862</v>
      </c>
      <c r="G274" s="136">
        <v>1346</v>
      </c>
      <c r="H274" s="136">
        <v>29363</v>
      </c>
      <c r="I274" s="136">
        <v>-23</v>
      </c>
      <c r="J274" s="136">
        <v>849735</v>
      </c>
      <c r="K274" s="136">
        <v>914886</v>
      </c>
      <c r="L274" s="136">
        <v>8136</v>
      </c>
      <c r="M274" s="137">
        <v>923022</v>
      </c>
    </row>
    <row r="275" spans="1:13" ht="15" thickTop="1" x14ac:dyDescent="0.35">
      <c r="A275" s="134"/>
    </row>
    <row r="276" spans="1:13" ht="15" thickBot="1" x14ac:dyDescent="0.4">
      <c r="A276" s="134"/>
    </row>
    <row r="277" spans="1:13" ht="15.5" thickTop="1" thickBot="1" x14ac:dyDescent="0.4">
      <c r="A277" s="437">
        <v>2021</v>
      </c>
      <c r="B277" s="438"/>
      <c r="C277" s="438"/>
      <c r="D277" s="438"/>
      <c r="E277" s="438"/>
      <c r="F277" s="438"/>
      <c r="G277" s="438"/>
      <c r="H277" s="438"/>
      <c r="I277" s="438"/>
      <c r="J277" s="438"/>
      <c r="K277" s="438"/>
      <c r="L277" s="438"/>
      <c r="M277" s="439"/>
    </row>
    <row r="278" spans="1:13" ht="15.5" thickTop="1" thickBot="1" x14ac:dyDescent="0.4">
      <c r="A278" s="440" t="s">
        <v>570</v>
      </c>
      <c r="B278" s="441"/>
      <c r="C278" s="441"/>
      <c r="D278" s="441"/>
      <c r="E278" s="441"/>
      <c r="F278" s="441"/>
      <c r="G278" s="441"/>
      <c r="H278" s="441"/>
      <c r="I278" s="441"/>
      <c r="J278" s="441"/>
      <c r="K278" s="441"/>
      <c r="L278" s="441"/>
      <c r="M278" s="442"/>
    </row>
    <row r="279" spans="1:13" ht="144" outlineLevel="1" thickTop="1" x14ac:dyDescent="0.35">
      <c r="A279" s="127" t="s">
        <v>62</v>
      </c>
      <c r="B279" s="127" t="s">
        <v>62</v>
      </c>
      <c r="C279" s="128" t="s">
        <v>455</v>
      </c>
      <c r="D279" s="128" t="s">
        <v>456</v>
      </c>
      <c r="E279" s="128" t="s">
        <v>457</v>
      </c>
      <c r="F279" s="128" t="s">
        <v>458</v>
      </c>
      <c r="G279" s="128" t="s">
        <v>459</v>
      </c>
      <c r="H279" s="128" t="s">
        <v>460</v>
      </c>
      <c r="I279" s="128" t="s">
        <v>461</v>
      </c>
      <c r="J279" s="128" t="s">
        <v>462</v>
      </c>
      <c r="K279" s="125" t="s">
        <v>463</v>
      </c>
      <c r="L279" s="128" t="s">
        <v>464</v>
      </c>
      <c r="M279" s="129" t="s">
        <v>465</v>
      </c>
    </row>
    <row r="280" spans="1:13" outlineLevel="1" x14ac:dyDescent="0.35">
      <c r="A280" s="130" t="s">
        <v>558</v>
      </c>
      <c r="B280" s="111" t="s">
        <v>1140</v>
      </c>
      <c r="C280" s="124">
        <v>18638</v>
      </c>
      <c r="D280" s="124">
        <v>15214</v>
      </c>
      <c r="E280" s="124">
        <v>3475</v>
      </c>
      <c r="F280" s="124">
        <v>-3791</v>
      </c>
      <c r="G280" s="124">
        <v>974</v>
      </c>
      <c r="H280" s="124">
        <v>21039</v>
      </c>
      <c r="I280" s="124">
        <v>0</v>
      </c>
      <c r="J280" s="124">
        <v>751408</v>
      </c>
      <c r="K280" s="124">
        <v>806957</v>
      </c>
      <c r="L280" s="124">
        <v>6982</v>
      </c>
      <c r="M280" s="131">
        <v>813939</v>
      </c>
    </row>
    <row r="281" spans="1:13" s="31" customFormat="1" outlineLevel="1" x14ac:dyDescent="0.35">
      <c r="A281" s="132" t="s">
        <v>197</v>
      </c>
      <c r="B281" s="102" t="s">
        <v>198</v>
      </c>
      <c r="C281" s="119">
        <v>0</v>
      </c>
      <c r="D281" s="119">
        <v>0</v>
      </c>
      <c r="E281" s="119">
        <v>0</v>
      </c>
      <c r="F281" s="119">
        <v>0</v>
      </c>
      <c r="G281" s="119">
        <v>0</v>
      </c>
      <c r="H281" s="8">
        <v>0</v>
      </c>
      <c r="I281" s="8">
        <v>0</v>
      </c>
      <c r="J281" s="8">
        <v>93108</v>
      </c>
      <c r="K281" s="29">
        <v>93108</v>
      </c>
      <c r="L281" s="8">
        <v>1013</v>
      </c>
      <c r="M281" s="133">
        <v>94121</v>
      </c>
    </row>
    <row r="282" spans="1:13" s="31" customFormat="1" outlineLevel="1" x14ac:dyDescent="0.35">
      <c r="A282" s="132" t="s">
        <v>232</v>
      </c>
      <c r="B282" s="102" t="s">
        <v>233</v>
      </c>
      <c r="C282" s="119">
        <v>0</v>
      </c>
      <c r="D282" s="119">
        <v>0</v>
      </c>
      <c r="E282" s="119">
        <v>0</v>
      </c>
      <c r="F282" s="119">
        <v>0</v>
      </c>
      <c r="G282" s="119">
        <v>0</v>
      </c>
      <c r="H282" s="8">
        <v>3723</v>
      </c>
      <c r="I282" s="8">
        <v>0</v>
      </c>
      <c r="J282" s="119">
        <v>0</v>
      </c>
      <c r="K282" s="29">
        <v>3723</v>
      </c>
      <c r="L282" s="8">
        <v>8</v>
      </c>
      <c r="M282" s="133">
        <v>3731</v>
      </c>
    </row>
    <row r="283" spans="1:13" s="31" customFormat="1" outlineLevel="1" x14ac:dyDescent="0.35">
      <c r="A283" s="132" t="s">
        <v>234</v>
      </c>
      <c r="B283" s="102" t="s">
        <v>235</v>
      </c>
      <c r="C283" s="119">
        <v>0</v>
      </c>
      <c r="D283" s="119">
        <v>0</v>
      </c>
      <c r="E283" s="119">
        <v>0</v>
      </c>
      <c r="F283" s="119">
        <v>0</v>
      </c>
      <c r="G283" s="119">
        <v>0</v>
      </c>
      <c r="H283" s="8">
        <v>183</v>
      </c>
      <c r="I283" s="8">
        <v>0</v>
      </c>
      <c r="J283" s="119">
        <v>0</v>
      </c>
      <c r="K283" s="29">
        <v>183</v>
      </c>
      <c r="L283" s="119">
        <v>0</v>
      </c>
      <c r="M283" s="133">
        <v>183</v>
      </c>
    </row>
    <row r="284" spans="1:13" s="31" customFormat="1" outlineLevel="1" x14ac:dyDescent="0.35">
      <c r="A284" s="132" t="s">
        <v>492</v>
      </c>
      <c r="B284" s="102" t="s">
        <v>471</v>
      </c>
      <c r="C284" s="119">
        <v>0</v>
      </c>
      <c r="D284" s="119">
        <v>0</v>
      </c>
      <c r="E284" s="119">
        <v>0</v>
      </c>
      <c r="F284" s="119">
        <v>0</v>
      </c>
      <c r="G284" s="119">
        <v>0</v>
      </c>
      <c r="H284" s="8">
        <v>0</v>
      </c>
      <c r="I284" s="8"/>
      <c r="J284" s="119">
        <v>0</v>
      </c>
      <c r="K284" s="29">
        <v>0</v>
      </c>
      <c r="L284" s="119">
        <v>0</v>
      </c>
      <c r="M284" s="133">
        <v>0</v>
      </c>
    </row>
    <row r="285" spans="1:13" s="31" customFormat="1" outlineLevel="1" x14ac:dyDescent="0.35">
      <c r="A285" s="132" t="s">
        <v>568</v>
      </c>
      <c r="B285" s="102" t="s">
        <v>569</v>
      </c>
      <c r="C285" s="119">
        <v>0</v>
      </c>
      <c r="D285" s="119">
        <v>0</v>
      </c>
      <c r="E285" s="119">
        <v>0</v>
      </c>
      <c r="F285" s="119">
        <v>0</v>
      </c>
      <c r="G285" s="119">
        <v>1631</v>
      </c>
      <c r="H285" s="8">
        <v>0</v>
      </c>
      <c r="I285" s="8"/>
      <c r="J285" s="119">
        <v>0</v>
      </c>
      <c r="K285" s="29">
        <v>1631</v>
      </c>
      <c r="L285" s="119">
        <v>0</v>
      </c>
      <c r="M285" s="133">
        <v>1631</v>
      </c>
    </row>
    <row r="286" spans="1:13" ht="16.5" customHeight="1" outlineLevel="1" x14ac:dyDescent="0.35">
      <c r="A286" s="132" t="s">
        <v>566</v>
      </c>
      <c r="B286" s="102" t="s">
        <v>567</v>
      </c>
      <c r="C286" s="119">
        <v>0</v>
      </c>
      <c r="D286" s="119">
        <v>0</v>
      </c>
      <c r="E286" s="119">
        <v>0</v>
      </c>
      <c r="F286" s="119">
        <v>0</v>
      </c>
      <c r="G286" s="119">
        <v>0</v>
      </c>
      <c r="H286" s="119">
        <v>0</v>
      </c>
      <c r="I286" s="119">
        <v>0</v>
      </c>
      <c r="J286" s="8">
        <v>0</v>
      </c>
      <c r="K286" s="29">
        <v>0</v>
      </c>
      <c r="L286" s="119">
        <v>0</v>
      </c>
      <c r="M286" s="133">
        <v>0</v>
      </c>
    </row>
    <row r="287" spans="1:13" s="126" customFormat="1" ht="13.5" outlineLevel="1" x14ac:dyDescent="0.3">
      <c r="A287" s="132" t="s">
        <v>236</v>
      </c>
      <c r="B287" s="102" t="s">
        <v>237</v>
      </c>
      <c r="C287" s="119">
        <v>0</v>
      </c>
      <c r="D287" s="119">
        <v>0</v>
      </c>
      <c r="E287" s="119">
        <v>0</v>
      </c>
      <c r="F287" s="119">
        <v>0</v>
      </c>
      <c r="G287" s="119">
        <v>0</v>
      </c>
      <c r="H287" s="119">
        <v>0</v>
      </c>
      <c r="I287" s="119">
        <v>0</v>
      </c>
      <c r="J287" s="8">
        <v>0</v>
      </c>
      <c r="K287" s="29">
        <v>0</v>
      </c>
      <c r="L287" s="119">
        <v>0</v>
      </c>
      <c r="M287" s="133">
        <v>0</v>
      </c>
    </row>
    <row r="288" spans="1:13" s="31" customFormat="1" outlineLevel="1" x14ac:dyDescent="0.35">
      <c r="A288" s="132" t="s">
        <v>238</v>
      </c>
      <c r="B288" s="102" t="s">
        <v>239</v>
      </c>
      <c r="C288" s="119">
        <v>0</v>
      </c>
      <c r="D288" s="119">
        <v>0</v>
      </c>
      <c r="E288" s="119">
        <v>0</v>
      </c>
      <c r="F288" s="119">
        <v>0</v>
      </c>
      <c r="G288" s="119">
        <v>0</v>
      </c>
      <c r="H288" s="119">
        <v>0</v>
      </c>
      <c r="I288" s="119">
        <v>0</v>
      </c>
      <c r="J288" s="8">
        <v>0</v>
      </c>
      <c r="K288" s="29">
        <v>0</v>
      </c>
      <c r="L288" s="119">
        <v>0</v>
      </c>
      <c r="M288" s="133">
        <v>0</v>
      </c>
    </row>
    <row r="289" spans="1:13" outlineLevel="1" x14ac:dyDescent="0.35">
      <c r="A289" s="130" t="s">
        <v>1143</v>
      </c>
      <c r="B289" s="111" t="s">
        <v>548</v>
      </c>
      <c r="C289" s="143">
        <v>0</v>
      </c>
      <c r="D289" s="143">
        <v>0</v>
      </c>
      <c r="E289" s="143">
        <v>0</v>
      </c>
      <c r="F289" s="143">
        <v>0</v>
      </c>
      <c r="G289" s="116">
        <v>1631</v>
      </c>
      <c r="H289" s="116">
        <v>3906</v>
      </c>
      <c r="I289" s="116">
        <v>0</v>
      </c>
      <c r="J289" s="116">
        <v>93108</v>
      </c>
      <c r="K289" s="116">
        <v>98645</v>
      </c>
      <c r="L289" s="116">
        <v>1021</v>
      </c>
      <c r="M289" s="141">
        <v>99666</v>
      </c>
    </row>
    <row r="290" spans="1:13" outlineLevel="1" x14ac:dyDescent="0.35">
      <c r="A290" s="132" t="s">
        <v>1122</v>
      </c>
      <c r="B290" s="102" t="s">
        <v>478</v>
      </c>
      <c r="C290" s="119">
        <v>0</v>
      </c>
      <c r="D290" s="119">
        <v>0</v>
      </c>
      <c r="E290" s="119">
        <v>0</v>
      </c>
      <c r="F290" s="8">
        <v>-819</v>
      </c>
      <c r="G290" s="119">
        <v>0</v>
      </c>
      <c r="H290" s="119">
        <v>0</v>
      </c>
      <c r="I290" s="119">
        <v>0</v>
      </c>
      <c r="J290" s="8">
        <v>0</v>
      </c>
      <c r="K290" s="119">
        <v>-819</v>
      </c>
      <c r="L290" s="119">
        <v>0</v>
      </c>
      <c r="M290" s="144">
        <v>-819</v>
      </c>
    </row>
    <row r="291" spans="1:13" outlineLevel="1" x14ac:dyDescent="0.35">
      <c r="A291" s="132" t="s">
        <v>1123</v>
      </c>
      <c r="B291" s="102" t="s">
        <v>479</v>
      </c>
      <c r="C291" s="119">
        <v>0</v>
      </c>
      <c r="D291" s="119">
        <v>0</v>
      </c>
      <c r="E291" s="119">
        <v>0</v>
      </c>
      <c r="F291" s="119">
        <v>-74</v>
      </c>
      <c r="G291" s="119">
        <v>0</v>
      </c>
      <c r="H291" s="119">
        <v>0</v>
      </c>
      <c r="I291" s="119">
        <v>0</v>
      </c>
      <c r="J291" s="8">
        <v>70</v>
      </c>
      <c r="K291" s="29">
        <v>-4</v>
      </c>
      <c r="L291" s="119">
        <v>0</v>
      </c>
      <c r="M291" s="133">
        <v>-4</v>
      </c>
    </row>
    <row r="292" spans="1:13" outlineLevel="1" x14ac:dyDescent="0.35">
      <c r="A292" s="132" t="s">
        <v>480</v>
      </c>
      <c r="B292" s="102" t="s">
        <v>481</v>
      </c>
      <c r="C292" s="119">
        <v>0</v>
      </c>
      <c r="D292" s="119">
        <v>0</v>
      </c>
      <c r="E292" s="119">
        <v>0</v>
      </c>
      <c r="F292" s="119">
        <v>0</v>
      </c>
      <c r="G292" s="119">
        <v>0</v>
      </c>
      <c r="H292" s="119">
        <v>0</v>
      </c>
      <c r="I292" s="119">
        <v>0</v>
      </c>
      <c r="J292" s="8">
        <v>1207</v>
      </c>
      <c r="K292" s="29">
        <v>1207</v>
      </c>
      <c r="L292" s="119">
        <v>0</v>
      </c>
      <c r="M292" s="133">
        <v>1207</v>
      </c>
    </row>
    <row r="293" spans="1:13" outlineLevel="1" x14ac:dyDescent="0.35">
      <c r="A293" s="132" t="s">
        <v>539</v>
      </c>
      <c r="B293" s="102" t="s">
        <v>540</v>
      </c>
      <c r="C293" s="119">
        <v>0</v>
      </c>
      <c r="D293" s="119">
        <v>0</v>
      </c>
      <c r="E293" s="119">
        <v>0</v>
      </c>
      <c r="F293" s="119">
        <v>0</v>
      </c>
      <c r="G293" s="119">
        <v>0</v>
      </c>
      <c r="H293" s="119">
        <v>0</v>
      </c>
      <c r="I293" s="119">
        <v>0</v>
      </c>
      <c r="J293" s="119">
        <v>-41934</v>
      </c>
      <c r="K293" s="119">
        <v>-41934</v>
      </c>
      <c r="L293" s="8">
        <v>0</v>
      </c>
      <c r="M293" s="133">
        <v>-41934</v>
      </c>
    </row>
    <row r="294" spans="1:13" outlineLevel="1" x14ac:dyDescent="0.35">
      <c r="A294" s="132" t="s">
        <v>484</v>
      </c>
      <c r="B294" s="102" t="s">
        <v>485</v>
      </c>
      <c r="C294" s="119">
        <v>0</v>
      </c>
      <c r="D294" s="119">
        <v>0</v>
      </c>
      <c r="E294" s="119">
        <v>0</v>
      </c>
      <c r="F294" s="119">
        <v>0</v>
      </c>
      <c r="G294" s="119">
        <v>0</v>
      </c>
      <c r="H294" s="119">
        <v>0</v>
      </c>
      <c r="I294" s="119"/>
      <c r="J294" s="119">
        <v>0</v>
      </c>
      <c r="K294" s="119">
        <v>0</v>
      </c>
      <c r="L294" s="8">
        <v>-206</v>
      </c>
      <c r="M294" s="133">
        <v>-206</v>
      </c>
    </row>
    <row r="295" spans="1:13" outlineLevel="1" x14ac:dyDescent="0.35">
      <c r="A295" s="132" t="s">
        <v>1126</v>
      </c>
      <c r="B295" s="102" t="s">
        <v>1127</v>
      </c>
      <c r="C295" s="119">
        <v>0</v>
      </c>
      <c r="D295" s="119">
        <v>0</v>
      </c>
      <c r="E295" s="119">
        <v>0</v>
      </c>
      <c r="F295" s="119">
        <v>0</v>
      </c>
      <c r="G295" s="119">
        <v>0</v>
      </c>
      <c r="H295" s="119">
        <v>0</v>
      </c>
      <c r="I295" s="119"/>
      <c r="J295" s="119">
        <v>0</v>
      </c>
      <c r="K295" s="119">
        <v>0</v>
      </c>
      <c r="L295" s="8">
        <v>0</v>
      </c>
      <c r="M295" s="133">
        <v>0</v>
      </c>
    </row>
    <row r="296" spans="1:13" outlineLevel="1" x14ac:dyDescent="0.35">
      <c r="A296" s="132" t="s">
        <v>1128</v>
      </c>
      <c r="B296" s="102" t="s">
        <v>1129</v>
      </c>
      <c r="C296" s="119">
        <v>0</v>
      </c>
      <c r="D296" s="119">
        <v>0</v>
      </c>
      <c r="E296" s="119">
        <v>0</v>
      </c>
      <c r="F296" s="119">
        <v>0</v>
      </c>
      <c r="G296" s="119">
        <v>0</v>
      </c>
      <c r="H296" s="119">
        <v>0</v>
      </c>
      <c r="I296" s="119"/>
      <c r="J296" s="119">
        <v>0</v>
      </c>
      <c r="K296" s="119">
        <v>0</v>
      </c>
      <c r="L296" s="8">
        <v>0</v>
      </c>
      <c r="M296" s="133">
        <v>0</v>
      </c>
    </row>
    <row r="297" spans="1:13" s="31" customFormat="1" outlineLevel="1" x14ac:dyDescent="0.35">
      <c r="A297" s="132" t="s">
        <v>549</v>
      </c>
      <c r="B297" s="102" t="s">
        <v>550</v>
      </c>
      <c r="C297" s="119">
        <v>0</v>
      </c>
      <c r="D297" s="119">
        <v>0</v>
      </c>
      <c r="E297" s="119">
        <v>0</v>
      </c>
      <c r="F297" s="119">
        <v>0</v>
      </c>
      <c r="G297" s="119">
        <v>0</v>
      </c>
      <c r="H297" s="119">
        <v>0</v>
      </c>
      <c r="I297" s="119">
        <v>0</v>
      </c>
      <c r="J297" s="119">
        <v>0</v>
      </c>
      <c r="K297" s="119">
        <v>0</v>
      </c>
      <c r="L297" s="8">
        <v>-443</v>
      </c>
      <c r="M297" s="133">
        <v>-443</v>
      </c>
    </row>
    <row r="298" spans="1:13" outlineLevel="1" x14ac:dyDescent="0.35">
      <c r="A298" s="130" t="s">
        <v>551</v>
      </c>
      <c r="B298" s="111" t="s">
        <v>552</v>
      </c>
      <c r="C298" s="124">
        <v>0</v>
      </c>
      <c r="D298" s="142">
        <v>0</v>
      </c>
      <c r="E298" s="142">
        <v>0</v>
      </c>
      <c r="F298" s="124">
        <v>-893</v>
      </c>
      <c r="G298" s="142">
        <v>0</v>
      </c>
      <c r="H298" s="142">
        <v>0</v>
      </c>
      <c r="I298" s="142">
        <v>0</v>
      </c>
      <c r="J298" s="124">
        <v>-40657</v>
      </c>
      <c r="K298" s="124">
        <v>-41550</v>
      </c>
      <c r="L298" s="124">
        <v>-649</v>
      </c>
      <c r="M298" s="131">
        <v>-42199</v>
      </c>
    </row>
    <row r="299" spans="1:13" ht="15" outlineLevel="1" thickBot="1" x14ac:dyDescent="0.4">
      <c r="A299" s="135" t="s">
        <v>553</v>
      </c>
      <c r="B299" s="223" t="s">
        <v>554</v>
      </c>
      <c r="C299" s="136">
        <v>18638</v>
      </c>
      <c r="D299" s="136">
        <v>15214</v>
      </c>
      <c r="E299" s="136">
        <v>3475</v>
      </c>
      <c r="F299" s="136">
        <v>-4684</v>
      </c>
      <c r="G299" s="136">
        <v>2605</v>
      </c>
      <c r="H299" s="136">
        <v>24945</v>
      </c>
      <c r="I299" s="136">
        <v>0</v>
      </c>
      <c r="J299" s="136">
        <v>803859</v>
      </c>
      <c r="K299" s="136">
        <v>864052</v>
      </c>
      <c r="L299" s="136">
        <v>7354</v>
      </c>
      <c r="M299" s="137">
        <v>871406</v>
      </c>
    </row>
    <row r="300" spans="1:13" ht="15" thickTop="1" x14ac:dyDescent="0.35">
      <c r="A300" s="412"/>
      <c r="B300" s="103"/>
      <c r="C300" s="29"/>
      <c r="D300" s="29"/>
      <c r="E300" s="29"/>
      <c r="F300" s="29"/>
      <c r="G300" s="29"/>
      <c r="H300" s="29"/>
      <c r="I300" s="29"/>
      <c r="J300" s="29"/>
      <c r="K300" s="29"/>
      <c r="L300" s="29"/>
      <c r="M300" s="31"/>
    </row>
    <row r="301" spans="1:13" ht="15" thickBot="1" x14ac:dyDescent="0.4">
      <c r="A301" s="412"/>
      <c r="B301" s="103"/>
      <c r="C301" s="29"/>
      <c r="D301" s="29"/>
      <c r="E301" s="29"/>
      <c r="F301" s="29"/>
      <c r="G301" s="29"/>
      <c r="H301" s="29"/>
      <c r="I301" s="29"/>
      <c r="J301" s="29"/>
      <c r="K301" s="29"/>
      <c r="L301" s="29"/>
      <c r="M301" s="31"/>
    </row>
    <row r="302" spans="1:13" ht="15.5" thickTop="1" thickBot="1" x14ac:dyDescent="0.4">
      <c r="A302" s="437">
        <v>2021</v>
      </c>
      <c r="B302" s="438"/>
      <c r="C302" s="438"/>
      <c r="D302" s="438"/>
      <c r="E302" s="438"/>
      <c r="F302" s="438"/>
      <c r="G302" s="438"/>
      <c r="H302" s="438"/>
      <c r="I302" s="438"/>
      <c r="J302" s="438"/>
      <c r="K302" s="438"/>
      <c r="L302" s="438"/>
      <c r="M302" s="439"/>
    </row>
    <row r="303" spans="1:13" ht="15.5" thickTop="1" thickBot="1" x14ac:dyDescent="0.4">
      <c r="A303" s="440" t="s">
        <v>565</v>
      </c>
      <c r="B303" s="441"/>
      <c r="C303" s="441"/>
      <c r="D303" s="441"/>
      <c r="E303" s="441"/>
      <c r="F303" s="441"/>
      <c r="G303" s="441"/>
      <c r="H303" s="441"/>
      <c r="I303" s="441"/>
      <c r="J303" s="441"/>
      <c r="K303" s="441"/>
      <c r="L303" s="441"/>
      <c r="M303" s="442"/>
    </row>
    <row r="304" spans="1:13" ht="144" outlineLevel="1" thickTop="1" x14ac:dyDescent="0.35">
      <c r="A304" s="127" t="s">
        <v>62</v>
      </c>
      <c r="B304" s="127" t="s">
        <v>62</v>
      </c>
      <c r="C304" s="128" t="s">
        <v>455</v>
      </c>
      <c r="D304" s="128" t="s">
        <v>456</v>
      </c>
      <c r="E304" s="128" t="s">
        <v>457</v>
      </c>
      <c r="F304" s="128" t="s">
        <v>458</v>
      </c>
      <c r="G304" s="128" t="s">
        <v>459</v>
      </c>
      <c r="H304" s="128" t="s">
        <v>460</v>
      </c>
      <c r="I304" s="128" t="s">
        <v>461</v>
      </c>
      <c r="J304" s="128" t="s">
        <v>462</v>
      </c>
      <c r="K304" s="125" t="s">
        <v>463</v>
      </c>
      <c r="L304" s="128" t="s">
        <v>464</v>
      </c>
      <c r="M304" s="129" t="s">
        <v>465</v>
      </c>
    </row>
    <row r="305" spans="1:13" outlineLevel="1" x14ac:dyDescent="0.35">
      <c r="A305" s="130" t="s">
        <v>558</v>
      </c>
      <c r="B305" s="111" t="s">
        <v>1140</v>
      </c>
      <c r="C305" s="124">
        <v>18638</v>
      </c>
      <c r="D305" s="124">
        <v>15214</v>
      </c>
      <c r="E305" s="124">
        <v>3475</v>
      </c>
      <c r="F305" s="124">
        <v>-3791</v>
      </c>
      <c r="G305" s="124">
        <v>974</v>
      </c>
      <c r="H305" s="124">
        <v>21039</v>
      </c>
      <c r="I305" s="124">
        <v>0</v>
      </c>
      <c r="J305" s="124">
        <v>751408</v>
      </c>
      <c r="K305" s="124">
        <v>806957</v>
      </c>
      <c r="L305" s="124">
        <v>6982</v>
      </c>
      <c r="M305" s="131">
        <v>813939</v>
      </c>
    </row>
    <row r="306" spans="1:13" s="31" customFormat="1" outlineLevel="1" x14ac:dyDescent="0.35">
      <c r="A306" s="132" t="s">
        <v>197</v>
      </c>
      <c r="B306" s="102" t="s">
        <v>198</v>
      </c>
      <c r="C306" s="119">
        <v>0</v>
      </c>
      <c r="D306" s="119">
        <v>0</v>
      </c>
      <c r="E306" s="119">
        <v>0</v>
      </c>
      <c r="F306" s="119">
        <v>0</v>
      </c>
      <c r="G306" s="119">
        <v>0</v>
      </c>
      <c r="H306" s="8">
        <v>0</v>
      </c>
      <c r="I306" s="8">
        <v>0</v>
      </c>
      <c r="J306" s="8">
        <v>54915</v>
      </c>
      <c r="K306" s="29">
        <v>54915</v>
      </c>
      <c r="L306" s="8">
        <v>719</v>
      </c>
      <c r="M306" s="133">
        <v>55634</v>
      </c>
    </row>
    <row r="307" spans="1:13" s="31" customFormat="1" outlineLevel="1" x14ac:dyDescent="0.35">
      <c r="A307" s="132" t="s">
        <v>232</v>
      </c>
      <c r="B307" s="102" t="s">
        <v>233</v>
      </c>
      <c r="C307" s="119">
        <v>0</v>
      </c>
      <c r="D307" s="119">
        <v>0</v>
      </c>
      <c r="E307" s="119">
        <v>0</v>
      </c>
      <c r="F307" s="119">
        <v>0</v>
      </c>
      <c r="G307" s="119">
        <v>0</v>
      </c>
      <c r="H307" s="8">
        <v>-1194</v>
      </c>
      <c r="I307" s="8">
        <v>0</v>
      </c>
      <c r="J307" s="119">
        <v>0</v>
      </c>
      <c r="K307" s="29">
        <v>-1194</v>
      </c>
      <c r="L307" s="8">
        <v>-224</v>
      </c>
      <c r="M307" s="133">
        <v>-1418</v>
      </c>
    </row>
    <row r="308" spans="1:13" s="31" customFormat="1" outlineLevel="1" x14ac:dyDescent="0.35">
      <c r="A308" s="132" t="s">
        <v>234</v>
      </c>
      <c r="B308" s="102" t="s">
        <v>235</v>
      </c>
      <c r="C308" s="119">
        <v>0</v>
      </c>
      <c r="D308" s="119">
        <v>0</v>
      </c>
      <c r="E308" s="119">
        <v>0</v>
      </c>
      <c r="F308" s="119">
        <v>0</v>
      </c>
      <c r="G308" s="119">
        <v>0</v>
      </c>
      <c r="H308" s="8">
        <v>67</v>
      </c>
      <c r="I308" s="8">
        <v>0</v>
      </c>
      <c r="J308" s="119">
        <v>0</v>
      </c>
      <c r="K308" s="29">
        <v>67</v>
      </c>
      <c r="L308" s="119">
        <v>0</v>
      </c>
      <c r="M308" s="133">
        <v>67</v>
      </c>
    </row>
    <row r="309" spans="1:13" s="31" customFormat="1" outlineLevel="1" x14ac:dyDescent="0.35">
      <c r="A309" s="132" t="s">
        <v>492</v>
      </c>
      <c r="B309" s="102" t="s">
        <v>471</v>
      </c>
      <c r="C309" s="119">
        <v>0</v>
      </c>
      <c r="D309" s="119">
        <v>0</v>
      </c>
      <c r="E309" s="119">
        <v>0</v>
      </c>
      <c r="F309" s="119">
        <v>0</v>
      </c>
      <c r="G309" s="119">
        <v>0</v>
      </c>
      <c r="H309" s="8">
        <v>0</v>
      </c>
      <c r="I309" s="8">
        <v>0</v>
      </c>
      <c r="J309" s="119">
        <v>0</v>
      </c>
      <c r="K309" s="29">
        <v>0</v>
      </c>
      <c r="L309" s="119">
        <v>0</v>
      </c>
      <c r="M309" s="133">
        <v>0</v>
      </c>
    </row>
    <row r="310" spans="1:13" s="31" customFormat="1" outlineLevel="1" x14ac:dyDescent="0.35">
      <c r="A310" s="132" t="s">
        <v>568</v>
      </c>
      <c r="B310" s="102" t="s">
        <v>569</v>
      </c>
      <c r="C310" s="119">
        <v>0</v>
      </c>
      <c r="D310" s="119">
        <v>0</v>
      </c>
      <c r="E310" s="119">
        <v>0</v>
      </c>
      <c r="F310" s="119">
        <v>0</v>
      </c>
      <c r="G310" s="119">
        <v>751</v>
      </c>
      <c r="H310" s="8">
        <v>0</v>
      </c>
      <c r="I310" s="8">
        <v>0</v>
      </c>
      <c r="J310" s="119">
        <v>0</v>
      </c>
      <c r="K310" s="29">
        <v>751</v>
      </c>
      <c r="L310" s="119">
        <v>0</v>
      </c>
      <c r="M310" s="133">
        <v>751</v>
      </c>
    </row>
    <row r="311" spans="1:13" ht="16.5" customHeight="1" outlineLevel="1" x14ac:dyDescent="0.35">
      <c r="A311" s="132" t="s">
        <v>566</v>
      </c>
      <c r="B311" s="102" t="s">
        <v>567</v>
      </c>
      <c r="C311" s="119">
        <v>0</v>
      </c>
      <c r="D311" s="119">
        <v>0</v>
      </c>
      <c r="E311" s="119">
        <v>0</v>
      </c>
      <c r="F311" s="119">
        <v>0</v>
      </c>
      <c r="G311" s="119">
        <v>0</v>
      </c>
      <c r="H311" s="119">
        <v>0</v>
      </c>
      <c r="I311" s="119">
        <v>0</v>
      </c>
      <c r="J311" s="8">
        <v>0</v>
      </c>
      <c r="K311" s="29">
        <v>0</v>
      </c>
      <c r="L311" s="119">
        <v>0</v>
      </c>
      <c r="M311" s="133">
        <v>0</v>
      </c>
    </row>
    <row r="312" spans="1:13" s="126" customFormat="1" ht="13.5" outlineLevel="1" x14ac:dyDescent="0.3">
      <c r="A312" s="132" t="s">
        <v>236</v>
      </c>
      <c r="B312" s="102" t="s">
        <v>237</v>
      </c>
      <c r="C312" s="119">
        <v>0</v>
      </c>
      <c r="D312" s="119">
        <v>0</v>
      </c>
      <c r="E312" s="119">
        <v>0</v>
      </c>
      <c r="F312" s="119">
        <v>0</v>
      </c>
      <c r="G312" s="119">
        <v>0</v>
      </c>
      <c r="H312" s="119">
        <v>0</v>
      </c>
      <c r="I312" s="119">
        <v>0</v>
      </c>
      <c r="J312" s="8">
        <v>0</v>
      </c>
      <c r="K312" s="29">
        <v>0</v>
      </c>
      <c r="L312" s="119">
        <v>0</v>
      </c>
      <c r="M312" s="133">
        <v>0</v>
      </c>
    </row>
    <row r="313" spans="1:13" s="31" customFormat="1" outlineLevel="1" x14ac:dyDescent="0.35">
      <c r="A313" s="132" t="s">
        <v>238</v>
      </c>
      <c r="B313" s="102" t="s">
        <v>239</v>
      </c>
      <c r="C313" s="119">
        <v>0</v>
      </c>
      <c r="D313" s="119">
        <v>0</v>
      </c>
      <c r="E313" s="119">
        <v>0</v>
      </c>
      <c r="F313" s="119">
        <v>0</v>
      </c>
      <c r="G313" s="119">
        <v>0</v>
      </c>
      <c r="H313" s="119">
        <v>0</v>
      </c>
      <c r="I313" s="119">
        <v>0</v>
      </c>
      <c r="J313" s="8">
        <v>0</v>
      </c>
      <c r="K313" s="29">
        <v>0</v>
      </c>
      <c r="L313" s="119">
        <v>0</v>
      </c>
      <c r="M313" s="133">
        <v>0</v>
      </c>
    </row>
    <row r="314" spans="1:13" outlineLevel="1" x14ac:dyDescent="0.35">
      <c r="A314" s="130" t="s">
        <v>1144</v>
      </c>
      <c r="B314" s="111" t="s">
        <v>538</v>
      </c>
      <c r="C314" s="143">
        <v>0</v>
      </c>
      <c r="D314" s="143">
        <v>0</v>
      </c>
      <c r="E314" s="143">
        <v>0</v>
      </c>
      <c r="F314" s="143">
        <v>0</v>
      </c>
      <c r="G314" s="116">
        <v>751</v>
      </c>
      <c r="H314" s="116">
        <v>-1127</v>
      </c>
      <c r="I314" s="116">
        <v>0</v>
      </c>
      <c r="J314" s="116">
        <v>54915</v>
      </c>
      <c r="K314" s="116">
        <v>54539</v>
      </c>
      <c r="L314" s="116">
        <v>495</v>
      </c>
      <c r="M314" s="141">
        <v>55034</v>
      </c>
    </row>
    <row r="315" spans="1:13" outlineLevel="1" x14ac:dyDescent="0.35">
      <c r="A315" s="132" t="s">
        <v>1122</v>
      </c>
      <c r="B315" s="102" t="s">
        <v>478</v>
      </c>
      <c r="C315" s="119">
        <v>0</v>
      </c>
      <c r="D315" s="119">
        <v>0</v>
      </c>
      <c r="E315" s="119">
        <v>0</v>
      </c>
      <c r="F315" s="8">
        <v>-819</v>
      </c>
      <c r="G315" s="119">
        <v>0</v>
      </c>
      <c r="H315" s="119">
        <v>0</v>
      </c>
      <c r="I315" s="119">
        <v>0</v>
      </c>
      <c r="J315" s="8">
        <v>0</v>
      </c>
      <c r="K315" s="119">
        <v>-819</v>
      </c>
      <c r="L315" s="119">
        <v>0</v>
      </c>
      <c r="M315" s="144">
        <v>-819</v>
      </c>
    </row>
    <row r="316" spans="1:13" outlineLevel="1" x14ac:dyDescent="0.35">
      <c r="A316" s="132" t="s">
        <v>1123</v>
      </c>
      <c r="B316" s="102" t="s">
        <v>479</v>
      </c>
      <c r="C316" s="119">
        <v>0</v>
      </c>
      <c r="D316" s="119">
        <v>0</v>
      </c>
      <c r="E316" s="119">
        <v>0</v>
      </c>
      <c r="F316" s="8">
        <v>-34</v>
      </c>
      <c r="G316" s="119">
        <v>0</v>
      </c>
      <c r="H316" s="119">
        <v>0</v>
      </c>
      <c r="I316" s="119">
        <v>0</v>
      </c>
      <c r="J316" s="8">
        <v>30</v>
      </c>
      <c r="K316" s="119">
        <v>-4</v>
      </c>
      <c r="L316" s="119">
        <v>0</v>
      </c>
      <c r="M316" s="144">
        <v>-4</v>
      </c>
    </row>
    <row r="317" spans="1:13" outlineLevel="1" x14ac:dyDescent="0.35">
      <c r="A317" s="132" t="s">
        <v>480</v>
      </c>
      <c r="B317" s="102" t="s">
        <v>481</v>
      </c>
      <c r="C317" s="119">
        <v>0</v>
      </c>
      <c r="D317" s="119">
        <v>0</v>
      </c>
      <c r="E317" s="119">
        <v>0</v>
      </c>
      <c r="F317" s="8">
        <v>0</v>
      </c>
      <c r="G317" s="119">
        <v>0</v>
      </c>
      <c r="H317" s="119">
        <v>0</v>
      </c>
      <c r="I317" s="119">
        <v>0</v>
      </c>
      <c r="J317" s="8">
        <v>827</v>
      </c>
      <c r="K317" s="119">
        <v>827</v>
      </c>
      <c r="L317" s="119">
        <v>0</v>
      </c>
      <c r="M317" s="144">
        <v>827</v>
      </c>
    </row>
    <row r="318" spans="1:13" outlineLevel="1" x14ac:dyDescent="0.35">
      <c r="A318" s="132" t="s">
        <v>539</v>
      </c>
      <c r="B318" s="102" t="s">
        <v>540</v>
      </c>
      <c r="C318" s="119">
        <v>0</v>
      </c>
      <c r="D318" s="119">
        <v>0</v>
      </c>
      <c r="E318" s="119">
        <v>0</v>
      </c>
      <c r="F318" s="8">
        <v>0</v>
      </c>
      <c r="G318" s="119">
        <v>0</v>
      </c>
      <c r="H318" s="119">
        <v>0</v>
      </c>
      <c r="I318" s="119">
        <v>0</v>
      </c>
      <c r="J318" s="8">
        <v>-41934</v>
      </c>
      <c r="K318" s="119">
        <v>-41934</v>
      </c>
      <c r="L318" s="119">
        <v>0</v>
      </c>
      <c r="M318" s="144">
        <v>-41934</v>
      </c>
    </row>
    <row r="319" spans="1:13" outlineLevel="1" x14ac:dyDescent="0.35">
      <c r="A319" s="132" t="s">
        <v>484</v>
      </c>
      <c r="B319" s="102" t="s">
        <v>485</v>
      </c>
      <c r="C319" s="119">
        <v>0</v>
      </c>
      <c r="D319" s="119">
        <v>0</v>
      </c>
      <c r="E319" s="119">
        <v>0</v>
      </c>
      <c r="F319" s="8">
        <v>0</v>
      </c>
      <c r="G319" s="119">
        <v>0</v>
      </c>
      <c r="H319" s="119">
        <v>0</v>
      </c>
      <c r="I319" s="119">
        <v>0</v>
      </c>
      <c r="J319" s="8">
        <v>0</v>
      </c>
      <c r="K319" s="119">
        <v>0</v>
      </c>
      <c r="L319" s="119">
        <v>-25</v>
      </c>
      <c r="M319" s="144">
        <v>-25</v>
      </c>
    </row>
    <row r="320" spans="1:13" outlineLevel="1" x14ac:dyDescent="0.35">
      <c r="A320" s="132" t="s">
        <v>1126</v>
      </c>
      <c r="B320" s="102" t="s">
        <v>1127</v>
      </c>
      <c r="C320" s="119">
        <v>0</v>
      </c>
      <c r="D320" s="119">
        <v>0</v>
      </c>
      <c r="E320" s="119">
        <v>0</v>
      </c>
      <c r="F320" s="119">
        <v>0</v>
      </c>
      <c r="G320" s="119">
        <v>0</v>
      </c>
      <c r="H320" s="119">
        <v>0</v>
      </c>
      <c r="I320" s="119">
        <v>0</v>
      </c>
      <c r="J320" s="8">
        <v>0</v>
      </c>
      <c r="K320" s="29">
        <v>0</v>
      </c>
      <c r="L320" s="119">
        <v>0</v>
      </c>
      <c r="M320" s="133">
        <v>0</v>
      </c>
    </row>
    <row r="321" spans="1:13" outlineLevel="1" x14ac:dyDescent="0.35">
      <c r="A321" s="132" t="s">
        <v>1128</v>
      </c>
      <c r="B321" s="102" t="s">
        <v>1129</v>
      </c>
      <c r="C321" s="119">
        <v>0</v>
      </c>
      <c r="D321" s="119">
        <v>0</v>
      </c>
      <c r="E321" s="119">
        <v>0</v>
      </c>
      <c r="F321" s="119">
        <v>0</v>
      </c>
      <c r="G321" s="119">
        <v>0</v>
      </c>
      <c r="H321" s="119">
        <v>0</v>
      </c>
      <c r="I321" s="119">
        <v>0</v>
      </c>
      <c r="J321" s="8">
        <v>0</v>
      </c>
      <c r="K321" s="29">
        <v>0</v>
      </c>
      <c r="L321" s="119">
        <v>0</v>
      </c>
      <c r="M321" s="133">
        <v>0</v>
      </c>
    </row>
    <row r="322" spans="1:13" s="31" customFormat="1" outlineLevel="1" x14ac:dyDescent="0.35">
      <c r="A322" s="132" t="s">
        <v>549</v>
      </c>
      <c r="B322" s="102" t="s">
        <v>550</v>
      </c>
      <c r="C322" s="119">
        <v>0</v>
      </c>
      <c r="D322" s="119">
        <v>0</v>
      </c>
      <c r="E322" s="119">
        <v>0</v>
      </c>
      <c r="F322" s="119">
        <v>0</v>
      </c>
      <c r="G322" s="119">
        <v>0</v>
      </c>
      <c r="H322" s="119">
        <v>0</v>
      </c>
      <c r="I322" s="119">
        <v>0</v>
      </c>
      <c r="J322" s="119">
        <v>0</v>
      </c>
      <c r="K322" s="119">
        <v>0</v>
      </c>
      <c r="L322" s="8">
        <v>0</v>
      </c>
      <c r="M322" s="133">
        <v>0</v>
      </c>
    </row>
    <row r="323" spans="1:13" outlineLevel="1" x14ac:dyDescent="0.35">
      <c r="A323" s="130" t="s">
        <v>541</v>
      </c>
      <c r="B323" s="111" t="s">
        <v>542</v>
      </c>
      <c r="C323" s="124">
        <v>0</v>
      </c>
      <c r="D323" s="142">
        <v>0</v>
      </c>
      <c r="E323" s="142">
        <v>0</v>
      </c>
      <c r="F323" s="124">
        <v>-853</v>
      </c>
      <c r="G323" s="142">
        <v>0</v>
      </c>
      <c r="H323" s="142">
        <v>0</v>
      </c>
      <c r="I323" s="142">
        <v>0</v>
      </c>
      <c r="J323" s="124">
        <v>-41077</v>
      </c>
      <c r="K323" s="124">
        <v>-41930</v>
      </c>
      <c r="L323" s="124">
        <v>-25</v>
      </c>
      <c r="M323" s="131">
        <v>-41955</v>
      </c>
    </row>
    <row r="324" spans="1:13" ht="15" outlineLevel="1" thickBot="1" x14ac:dyDescent="0.4">
      <c r="A324" s="135" t="s">
        <v>543</v>
      </c>
      <c r="B324" s="223" t="s">
        <v>544</v>
      </c>
      <c r="C324" s="136">
        <v>18638</v>
      </c>
      <c r="D324" s="136">
        <v>15214</v>
      </c>
      <c r="E324" s="136">
        <v>3475</v>
      </c>
      <c r="F324" s="136">
        <v>-4644</v>
      </c>
      <c r="G324" s="136">
        <v>1725</v>
      </c>
      <c r="H324" s="136">
        <v>19912</v>
      </c>
      <c r="I324" s="136">
        <v>0</v>
      </c>
      <c r="J324" s="136">
        <v>765246</v>
      </c>
      <c r="K324" s="136">
        <v>819566</v>
      </c>
      <c r="L324" s="136">
        <v>7452</v>
      </c>
      <c r="M324" s="137">
        <v>827018</v>
      </c>
    </row>
    <row r="325" spans="1:13" ht="15" thickTop="1" x14ac:dyDescent="0.35">
      <c r="A325" s="412"/>
      <c r="B325" s="103"/>
      <c r="C325" s="29"/>
      <c r="D325" s="29"/>
      <c r="E325" s="29"/>
      <c r="F325" s="29"/>
      <c r="G325" s="29"/>
      <c r="H325" s="29"/>
      <c r="I325" s="29"/>
      <c r="J325" s="29"/>
      <c r="K325" s="29"/>
      <c r="L325" s="29"/>
      <c r="M325" s="31"/>
    </row>
    <row r="326" spans="1:13" ht="15" thickBot="1" x14ac:dyDescent="0.4">
      <c r="A326" s="412"/>
      <c r="B326" s="103"/>
      <c r="C326" s="29"/>
      <c r="D326" s="29"/>
      <c r="E326" s="29"/>
      <c r="F326" s="29"/>
      <c r="G326" s="29"/>
      <c r="H326" s="29"/>
      <c r="I326" s="29"/>
      <c r="J326" s="29"/>
      <c r="K326" s="29"/>
      <c r="L326" s="29"/>
      <c r="M326" s="31"/>
    </row>
    <row r="327" spans="1:13" ht="15.5" thickTop="1" thickBot="1" x14ac:dyDescent="0.4">
      <c r="A327" s="437">
        <v>2021</v>
      </c>
      <c r="B327" s="438"/>
      <c r="C327" s="438"/>
      <c r="D327" s="438"/>
      <c r="E327" s="438"/>
      <c r="F327" s="438"/>
      <c r="G327" s="438"/>
      <c r="H327" s="438"/>
      <c r="I327" s="438"/>
      <c r="J327" s="438"/>
      <c r="K327" s="438"/>
      <c r="L327" s="438"/>
      <c r="M327" s="439"/>
    </row>
    <row r="328" spans="1:13" ht="15.5" thickTop="1" thickBot="1" x14ac:dyDescent="0.4">
      <c r="A328" s="440" t="s">
        <v>561</v>
      </c>
      <c r="B328" s="441"/>
      <c r="C328" s="441"/>
      <c r="D328" s="441"/>
      <c r="E328" s="441"/>
      <c r="F328" s="441"/>
      <c r="G328" s="441"/>
      <c r="H328" s="441"/>
      <c r="I328" s="441"/>
      <c r="J328" s="441"/>
      <c r="K328" s="441"/>
      <c r="L328" s="441"/>
      <c r="M328" s="442"/>
    </row>
    <row r="329" spans="1:13" ht="144" outlineLevel="1" thickTop="1" x14ac:dyDescent="0.35">
      <c r="A329" s="127" t="s">
        <v>62</v>
      </c>
      <c r="B329" s="127" t="s">
        <v>62</v>
      </c>
      <c r="C329" s="128" t="s">
        <v>455</v>
      </c>
      <c r="D329" s="128" t="s">
        <v>456</v>
      </c>
      <c r="E329" s="128" t="s">
        <v>457</v>
      </c>
      <c r="F329" s="128" t="s">
        <v>458</v>
      </c>
      <c r="G329" s="128" t="s">
        <v>459</v>
      </c>
      <c r="H329" s="128" t="s">
        <v>460</v>
      </c>
      <c r="I329" s="128" t="s">
        <v>461</v>
      </c>
      <c r="J329" s="128" t="s">
        <v>462</v>
      </c>
      <c r="K329" s="125" t="s">
        <v>463</v>
      </c>
      <c r="L329" s="128" t="s">
        <v>464</v>
      </c>
      <c r="M329" s="129" t="s">
        <v>465</v>
      </c>
    </row>
    <row r="330" spans="1:13" outlineLevel="1" x14ac:dyDescent="0.35">
      <c r="A330" s="130" t="s">
        <v>558</v>
      </c>
      <c r="B330" s="111" t="s">
        <v>1140</v>
      </c>
      <c r="C330" s="124">
        <v>18638</v>
      </c>
      <c r="D330" s="124">
        <v>15214</v>
      </c>
      <c r="E330" s="124">
        <v>3475</v>
      </c>
      <c r="F330" s="124">
        <v>-3791</v>
      </c>
      <c r="G330" s="124">
        <v>974</v>
      </c>
      <c r="H330" s="124">
        <v>21039</v>
      </c>
      <c r="I330" s="124">
        <v>0</v>
      </c>
      <c r="J330" s="124">
        <v>751408</v>
      </c>
      <c r="K330" s="124">
        <v>806957</v>
      </c>
      <c r="L330" s="124">
        <v>6982</v>
      </c>
      <c r="M330" s="131">
        <v>813939</v>
      </c>
    </row>
    <row r="331" spans="1:13" s="31" customFormat="1" outlineLevel="1" x14ac:dyDescent="0.35">
      <c r="A331" s="132" t="s">
        <v>197</v>
      </c>
      <c r="B331" s="102" t="s">
        <v>1145</v>
      </c>
      <c r="C331" s="119">
        <v>0</v>
      </c>
      <c r="D331" s="119">
        <v>0</v>
      </c>
      <c r="E331" s="119">
        <v>0</v>
      </c>
      <c r="F331" s="119">
        <v>0</v>
      </c>
      <c r="G331" s="119">
        <v>0</v>
      </c>
      <c r="H331" s="8">
        <v>0</v>
      </c>
      <c r="I331" s="8">
        <v>0</v>
      </c>
      <c r="J331" s="8">
        <v>26888</v>
      </c>
      <c r="K331" s="29">
        <v>26888</v>
      </c>
      <c r="L331" s="8">
        <v>64</v>
      </c>
      <c r="M331" s="133">
        <v>26952</v>
      </c>
    </row>
    <row r="332" spans="1:13" s="31" customFormat="1" outlineLevel="1" x14ac:dyDescent="0.35">
      <c r="A332" s="132" t="s">
        <v>232</v>
      </c>
      <c r="B332" s="102" t="s">
        <v>233</v>
      </c>
      <c r="C332" s="119">
        <v>0</v>
      </c>
      <c r="D332" s="119">
        <v>0</v>
      </c>
      <c r="E332" s="119">
        <v>0</v>
      </c>
      <c r="F332" s="119">
        <v>0</v>
      </c>
      <c r="G332" s="119">
        <v>0</v>
      </c>
      <c r="H332" s="8">
        <v>1955</v>
      </c>
      <c r="I332" s="8">
        <v>0</v>
      </c>
      <c r="J332" s="119">
        <v>0</v>
      </c>
      <c r="K332" s="29">
        <v>1955</v>
      </c>
      <c r="L332" s="8">
        <v>61</v>
      </c>
      <c r="M332" s="133">
        <v>2016</v>
      </c>
    </row>
    <row r="333" spans="1:13" outlineLevel="1" x14ac:dyDescent="0.35">
      <c r="A333" s="132" t="s">
        <v>234</v>
      </c>
      <c r="B333" s="102" t="s">
        <v>235</v>
      </c>
      <c r="C333" s="119">
        <v>0</v>
      </c>
      <c r="D333" s="119">
        <v>0</v>
      </c>
      <c r="E333" s="119">
        <v>0</v>
      </c>
      <c r="F333" s="119">
        <v>0</v>
      </c>
      <c r="G333" s="119">
        <v>0</v>
      </c>
      <c r="H333" s="8">
        <v>208</v>
      </c>
      <c r="I333" s="8">
        <v>0</v>
      </c>
      <c r="J333" s="119">
        <v>0</v>
      </c>
      <c r="K333" s="29">
        <v>208</v>
      </c>
      <c r="L333" s="119">
        <v>0</v>
      </c>
      <c r="M333" s="133">
        <v>208</v>
      </c>
    </row>
    <row r="334" spans="1:13" outlineLevel="1" x14ac:dyDescent="0.35">
      <c r="A334" s="132" t="s">
        <v>492</v>
      </c>
      <c r="B334" s="102" t="s">
        <v>471</v>
      </c>
      <c r="C334" s="119">
        <v>0</v>
      </c>
      <c r="D334" s="119">
        <v>0</v>
      </c>
      <c r="E334" s="119">
        <v>0</v>
      </c>
      <c r="F334" s="119">
        <v>0</v>
      </c>
      <c r="G334" s="119">
        <v>0</v>
      </c>
      <c r="H334" s="8">
        <v>0</v>
      </c>
      <c r="I334" s="8">
        <v>0</v>
      </c>
      <c r="J334" s="119">
        <v>0</v>
      </c>
      <c r="K334" s="29">
        <v>0</v>
      </c>
      <c r="L334" s="119">
        <v>0</v>
      </c>
      <c r="M334" s="133">
        <v>0</v>
      </c>
    </row>
    <row r="335" spans="1:13" outlineLevel="1" x14ac:dyDescent="0.35">
      <c r="A335" s="132" t="s">
        <v>562</v>
      </c>
      <c r="B335" s="102" t="s">
        <v>563</v>
      </c>
      <c r="C335" s="119">
        <v>0</v>
      </c>
      <c r="D335" s="119">
        <v>0</v>
      </c>
      <c r="E335" s="119">
        <v>0</v>
      </c>
      <c r="F335" s="119">
        <v>0</v>
      </c>
      <c r="G335" s="119">
        <v>-403</v>
      </c>
      <c r="H335" s="8">
        <v>0</v>
      </c>
      <c r="I335" s="8">
        <v>0</v>
      </c>
      <c r="J335" s="119">
        <v>0</v>
      </c>
      <c r="K335" s="29">
        <v>-403</v>
      </c>
      <c r="L335" s="119">
        <v>0</v>
      </c>
      <c r="M335" s="133">
        <v>-403</v>
      </c>
    </row>
    <row r="336" spans="1:13" outlineLevel="1" x14ac:dyDescent="0.35">
      <c r="A336" s="132" t="s">
        <v>566</v>
      </c>
      <c r="B336" s="102" t="s">
        <v>1146</v>
      </c>
      <c r="C336" s="119">
        <v>0</v>
      </c>
      <c r="D336" s="119">
        <v>0</v>
      </c>
      <c r="E336" s="119">
        <v>0</v>
      </c>
      <c r="F336" s="119">
        <v>0</v>
      </c>
      <c r="G336" s="119">
        <v>0</v>
      </c>
      <c r="H336" s="119">
        <v>0</v>
      </c>
      <c r="I336" s="119">
        <v>0</v>
      </c>
      <c r="J336" s="8">
        <v>0</v>
      </c>
      <c r="K336" s="29">
        <v>0</v>
      </c>
      <c r="L336" s="119">
        <v>0</v>
      </c>
      <c r="M336" s="133">
        <v>0</v>
      </c>
    </row>
    <row r="337" spans="1:13" outlineLevel="1" x14ac:dyDescent="0.35">
      <c r="A337" s="132" t="s">
        <v>236</v>
      </c>
      <c r="B337" s="102" t="s">
        <v>237</v>
      </c>
      <c r="C337" s="119">
        <v>0</v>
      </c>
      <c r="D337" s="119">
        <v>0</v>
      </c>
      <c r="E337" s="119">
        <v>0</v>
      </c>
      <c r="F337" s="119">
        <v>0</v>
      </c>
      <c r="G337" s="119">
        <v>0</v>
      </c>
      <c r="H337" s="119">
        <v>0</v>
      </c>
      <c r="I337" s="119">
        <v>0</v>
      </c>
      <c r="J337" s="8">
        <v>0</v>
      </c>
      <c r="K337" s="29">
        <v>0</v>
      </c>
      <c r="L337" s="119">
        <v>0</v>
      </c>
      <c r="M337" s="133">
        <v>0</v>
      </c>
    </row>
    <row r="338" spans="1:13" outlineLevel="1" x14ac:dyDescent="0.35">
      <c r="A338" s="132" t="s">
        <v>238</v>
      </c>
      <c r="B338" s="102" t="s">
        <v>239</v>
      </c>
      <c r="C338" s="119">
        <v>0</v>
      </c>
      <c r="D338" s="119">
        <v>0</v>
      </c>
      <c r="E338" s="119">
        <v>0</v>
      </c>
      <c r="F338" s="119">
        <v>0</v>
      </c>
      <c r="G338" s="119">
        <v>0</v>
      </c>
      <c r="H338" s="119">
        <v>0</v>
      </c>
      <c r="I338" s="119">
        <v>0</v>
      </c>
      <c r="J338" s="8">
        <v>0</v>
      </c>
      <c r="K338" s="29">
        <v>0</v>
      </c>
      <c r="L338" s="119">
        <v>0</v>
      </c>
      <c r="M338" s="133">
        <v>0</v>
      </c>
    </row>
    <row r="339" spans="1:13" outlineLevel="1" x14ac:dyDescent="0.35">
      <c r="A339" s="130" t="s">
        <v>1147</v>
      </c>
      <c r="B339" s="111" t="s">
        <v>564</v>
      </c>
      <c r="C339" s="143">
        <v>0</v>
      </c>
      <c r="D339" s="143">
        <v>0</v>
      </c>
      <c r="E339" s="143">
        <v>0</v>
      </c>
      <c r="F339" s="143">
        <v>0</v>
      </c>
      <c r="G339" s="116">
        <v>-403</v>
      </c>
      <c r="H339" s="116">
        <v>2163</v>
      </c>
      <c r="I339" s="116">
        <v>0</v>
      </c>
      <c r="J339" s="116">
        <v>26888</v>
      </c>
      <c r="K339" s="116">
        <v>28648</v>
      </c>
      <c r="L339" s="116">
        <v>125</v>
      </c>
      <c r="M339" s="141">
        <v>28773</v>
      </c>
    </row>
    <row r="340" spans="1:13" outlineLevel="1" x14ac:dyDescent="0.35">
      <c r="A340" s="132" t="s">
        <v>1122</v>
      </c>
      <c r="B340" s="102" t="s">
        <v>478</v>
      </c>
      <c r="C340" s="119">
        <v>0</v>
      </c>
      <c r="D340" s="119">
        <v>0</v>
      </c>
      <c r="E340" s="119">
        <v>0</v>
      </c>
      <c r="F340" s="8">
        <v>-791</v>
      </c>
      <c r="G340" s="119">
        <v>0</v>
      </c>
      <c r="H340" s="119">
        <v>0</v>
      </c>
      <c r="I340" s="119">
        <v>0</v>
      </c>
      <c r="J340" s="119">
        <v>0</v>
      </c>
      <c r="K340" s="29">
        <v>-791</v>
      </c>
      <c r="L340" s="119">
        <v>0</v>
      </c>
      <c r="M340" s="133">
        <v>-791</v>
      </c>
    </row>
    <row r="341" spans="1:13" outlineLevel="1" x14ac:dyDescent="0.35">
      <c r="A341" s="132" t="s">
        <v>1123</v>
      </c>
      <c r="B341" s="102" t="s">
        <v>479</v>
      </c>
      <c r="C341" s="119">
        <v>0</v>
      </c>
      <c r="D341" s="119">
        <v>0</v>
      </c>
      <c r="E341" s="119">
        <v>0</v>
      </c>
      <c r="F341" s="8">
        <v>-45</v>
      </c>
      <c r="G341" s="119">
        <v>0</v>
      </c>
      <c r="H341" s="119">
        <v>0</v>
      </c>
      <c r="I341" s="119">
        <v>0</v>
      </c>
      <c r="J341" s="119">
        <v>45</v>
      </c>
      <c r="K341" s="29">
        <v>0</v>
      </c>
      <c r="L341" s="119">
        <v>0</v>
      </c>
      <c r="M341" s="133">
        <v>0</v>
      </c>
    </row>
    <row r="342" spans="1:13" outlineLevel="1" x14ac:dyDescent="0.35">
      <c r="A342" s="132" t="s">
        <v>480</v>
      </c>
      <c r="B342" s="102" t="s">
        <v>481</v>
      </c>
      <c r="C342" s="119">
        <v>0</v>
      </c>
      <c r="D342" s="119">
        <v>0</v>
      </c>
      <c r="E342" s="119">
        <v>0</v>
      </c>
      <c r="F342" s="8">
        <v>0</v>
      </c>
      <c r="G342" s="119">
        <v>0</v>
      </c>
      <c r="H342" s="119">
        <v>0</v>
      </c>
      <c r="I342" s="119">
        <v>0</v>
      </c>
      <c r="J342" s="119">
        <v>389</v>
      </c>
      <c r="K342" s="29">
        <v>389</v>
      </c>
      <c r="L342" s="119">
        <v>0</v>
      </c>
      <c r="M342" s="133">
        <v>389</v>
      </c>
    </row>
    <row r="343" spans="1:13" outlineLevel="1" x14ac:dyDescent="0.35">
      <c r="A343" s="132" t="s">
        <v>539</v>
      </c>
      <c r="B343" s="102" t="s">
        <v>540</v>
      </c>
      <c r="C343" s="119">
        <v>0</v>
      </c>
      <c r="D343" s="119">
        <v>0</v>
      </c>
      <c r="E343" s="119">
        <v>0</v>
      </c>
      <c r="F343" s="8">
        <v>0</v>
      </c>
      <c r="G343" s="119">
        <v>0</v>
      </c>
      <c r="H343" s="119">
        <v>0</v>
      </c>
      <c r="I343" s="119">
        <v>0</v>
      </c>
      <c r="J343" s="119">
        <v>0</v>
      </c>
      <c r="K343" s="29">
        <v>0</v>
      </c>
      <c r="L343" s="119">
        <v>0</v>
      </c>
      <c r="M343" s="133">
        <v>0</v>
      </c>
    </row>
    <row r="344" spans="1:13" outlineLevel="1" x14ac:dyDescent="0.35">
      <c r="A344" s="132" t="s">
        <v>484</v>
      </c>
      <c r="B344" s="102" t="s">
        <v>485</v>
      </c>
      <c r="C344" s="119">
        <v>0</v>
      </c>
      <c r="D344" s="119">
        <v>0</v>
      </c>
      <c r="E344" s="119">
        <v>0</v>
      </c>
      <c r="F344" s="8">
        <v>0</v>
      </c>
      <c r="G344" s="119">
        <v>0</v>
      </c>
      <c r="H344" s="119">
        <v>0</v>
      </c>
      <c r="I344" s="119">
        <v>0</v>
      </c>
      <c r="J344" s="119">
        <v>0</v>
      </c>
      <c r="K344" s="29">
        <v>0</v>
      </c>
      <c r="L344" s="119"/>
      <c r="M344" s="133">
        <v>0</v>
      </c>
    </row>
    <row r="345" spans="1:13" outlineLevel="1" x14ac:dyDescent="0.35">
      <c r="A345" s="132" t="s">
        <v>1126</v>
      </c>
      <c r="B345" s="102" t="s">
        <v>1127</v>
      </c>
      <c r="C345" s="119">
        <v>0</v>
      </c>
      <c r="D345" s="119">
        <v>0</v>
      </c>
      <c r="E345" s="119">
        <v>0</v>
      </c>
      <c r="F345" s="8">
        <v>0</v>
      </c>
      <c r="G345" s="119">
        <v>0</v>
      </c>
      <c r="H345" s="119">
        <v>0</v>
      </c>
      <c r="I345" s="119">
        <v>0</v>
      </c>
      <c r="J345" s="119">
        <v>0</v>
      </c>
      <c r="K345" s="29">
        <v>0</v>
      </c>
      <c r="L345" s="119">
        <v>0</v>
      </c>
      <c r="M345" s="133">
        <v>0</v>
      </c>
    </row>
    <row r="346" spans="1:13" outlineLevel="1" x14ac:dyDescent="0.35">
      <c r="A346" s="132" t="s">
        <v>1128</v>
      </c>
      <c r="B346" s="102" t="s">
        <v>1129</v>
      </c>
      <c r="C346" s="119">
        <v>0</v>
      </c>
      <c r="D346" s="119">
        <v>0</v>
      </c>
      <c r="E346" s="119">
        <v>0</v>
      </c>
      <c r="F346" s="8">
        <v>0</v>
      </c>
      <c r="G346" s="119">
        <v>0</v>
      </c>
      <c r="H346" s="119">
        <v>0</v>
      </c>
      <c r="I346" s="119">
        <v>0</v>
      </c>
      <c r="J346" s="119">
        <v>0</v>
      </c>
      <c r="K346" s="29">
        <v>0</v>
      </c>
      <c r="L346" s="119">
        <v>0</v>
      </c>
      <c r="M346" s="133">
        <v>0</v>
      </c>
    </row>
    <row r="347" spans="1:13" outlineLevel="1" x14ac:dyDescent="0.35">
      <c r="A347" s="132" t="s">
        <v>549</v>
      </c>
      <c r="B347" s="102" t="s">
        <v>550</v>
      </c>
      <c r="C347" s="119">
        <v>0</v>
      </c>
      <c r="D347" s="119">
        <v>0</v>
      </c>
      <c r="E347" s="119">
        <v>0</v>
      </c>
      <c r="F347" s="8">
        <v>0</v>
      </c>
      <c r="G347" s="119">
        <v>0</v>
      </c>
      <c r="H347" s="119">
        <v>0</v>
      </c>
      <c r="I347" s="119">
        <v>0</v>
      </c>
      <c r="J347" s="8">
        <v>0</v>
      </c>
      <c r="K347" s="119">
        <v>0</v>
      </c>
      <c r="L347" s="119">
        <v>0</v>
      </c>
      <c r="M347" s="144">
        <v>0</v>
      </c>
    </row>
    <row r="348" spans="1:13" outlineLevel="1" x14ac:dyDescent="0.35">
      <c r="A348" s="130" t="s">
        <v>531</v>
      </c>
      <c r="B348" s="111" t="s">
        <v>532</v>
      </c>
      <c r="C348" s="124">
        <v>0</v>
      </c>
      <c r="D348" s="142">
        <v>0</v>
      </c>
      <c r="E348" s="142">
        <v>0</v>
      </c>
      <c r="F348" s="124">
        <v>-836</v>
      </c>
      <c r="G348" s="142">
        <v>0</v>
      </c>
      <c r="H348" s="142">
        <v>0</v>
      </c>
      <c r="I348" s="142">
        <v>0</v>
      </c>
      <c r="J348" s="124">
        <v>434</v>
      </c>
      <c r="K348" s="124">
        <v>-402</v>
      </c>
      <c r="L348" s="124">
        <v>0</v>
      </c>
      <c r="M348" s="131">
        <v>-402</v>
      </c>
    </row>
    <row r="349" spans="1:13" ht="15" outlineLevel="1" thickBot="1" x14ac:dyDescent="0.4">
      <c r="A349" s="135" t="s">
        <v>533</v>
      </c>
      <c r="B349" s="223" t="s">
        <v>534</v>
      </c>
      <c r="C349" s="136">
        <v>18638</v>
      </c>
      <c r="D349" s="136">
        <v>15214</v>
      </c>
      <c r="E349" s="136">
        <v>3475</v>
      </c>
      <c r="F349" s="136">
        <v>-4627</v>
      </c>
      <c r="G349" s="136">
        <v>571</v>
      </c>
      <c r="H349" s="136">
        <v>23202</v>
      </c>
      <c r="I349" s="136">
        <v>0</v>
      </c>
      <c r="J349" s="136">
        <v>778730</v>
      </c>
      <c r="K349" s="136">
        <v>835203</v>
      </c>
      <c r="L349" s="136">
        <v>7107</v>
      </c>
      <c r="M349" s="137">
        <v>842310</v>
      </c>
    </row>
    <row r="350" spans="1:13" ht="15" thickTop="1" x14ac:dyDescent="0.35"/>
  </sheetData>
  <mergeCells count="9">
    <mergeCell ref="A202:M202"/>
    <mergeCell ref="A227:M227"/>
    <mergeCell ref="A52:M52"/>
    <mergeCell ref="A53:M53"/>
    <mergeCell ref="A2:M2"/>
    <mergeCell ref="A77:M77"/>
    <mergeCell ref="A102:M102"/>
    <mergeCell ref="A127:M127"/>
    <mergeCell ref="A177:M17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32D7D-FF89-46BF-A65C-42E577D33D01}">
  <sheetPr>
    <tabColor rgb="FF0070C0"/>
  </sheetPr>
  <dimension ref="A1:AB66"/>
  <sheetViews>
    <sheetView zoomScale="68" zoomScaleNormal="68" workbookViewId="0">
      <pane xSplit="2" ySplit="3" topLeftCell="X22" activePane="bottomRight" state="frozen"/>
      <selection activeCell="AS1" sqref="AS1"/>
      <selection pane="topRight" activeCell="AS1" sqref="AS1"/>
      <selection pane="bottomLeft" activeCell="AS1" sqref="AS1"/>
      <selection pane="bottomRight" activeCell="AE25" sqref="AE25"/>
    </sheetView>
  </sheetViews>
  <sheetFormatPr defaultRowHeight="14.5" outlineLevelCol="1" x14ac:dyDescent="0.35"/>
  <cols>
    <col min="1" max="1" width="72.81640625" customWidth="1"/>
    <col min="2" max="2" width="38.81640625" customWidth="1"/>
    <col min="3" max="5" width="13.453125" hidden="1" customWidth="1" outlineLevel="1"/>
    <col min="6" max="6" width="13.453125" bestFit="1" customWidth="1" collapsed="1"/>
    <col min="7" max="9" width="13.453125" hidden="1" customWidth="1" outlineLevel="1"/>
    <col min="10" max="10" width="13.453125" bestFit="1" customWidth="1" collapsed="1"/>
    <col min="11" max="13" width="13.453125" hidden="1" customWidth="1" outlineLevel="1"/>
    <col min="14" max="14" width="13.453125" bestFit="1" customWidth="1" collapsed="1"/>
    <col min="15" max="17" width="13.453125" hidden="1" customWidth="1" outlineLevel="1"/>
    <col min="18" max="18" width="13.453125" bestFit="1" customWidth="1" collapsed="1"/>
    <col min="19" max="19" width="14.54296875" hidden="1" customWidth="1" outlineLevel="1"/>
    <col min="20" max="21" width="14" hidden="1" customWidth="1" outlineLevel="1"/>
    <col min="22" max="22" width="15.81640625" bestFit="1" customWidth="1" collapsed="1"/>
    <col min="23" max="24" width="15.453125" customWidth="1" outlineLevel="1"/>
    <col min="25" max="25" width="17.54296875" customWidth="1" outlineLevel="1"/>
    <col min="26" max="27" width="15.453125" bestFit="1" customWidth="1"/>
    <col min="28" max="28" width="15.453125" customWidth="1" outlineLevel="1"/>
  </cols>
  <sheetData>
    <row r="1" spans="1:28" ht="30.75" customHeight="1" thickBot="1" x14ac:dyDescent="0.4">
      <c r="A1" s="197"/>
      <c r="B1" s="197"/>
    </row>
    <row r="2" spans="1:28" ht="15" thickBot="1" x14ac:dyDescent="0.4">
      <c r="A2" s="494" t="s">
        <v>573</v>
      </c>
      <c r="B2" s="492" t="s">
        <v>574</v>
      </c>
      <c r="C2" s="1" t="s">
        <v>79</v>
      </c>
      <c r="D2" s="1" t="s">
        <v>80</v>
      </c>
      <c r="E2" s="1" t="s">
        <v>81</v>
      </c>
      <c r="F2" s="64" t="s">
        <v>82</v>
      </c>
      <c r="G2" s="1" t="s">
        <v>83</v>
      </c>
      <c r="H2" s="1" t="s">
        <v>84</v>
      </c>
      <c r="I2" s="1" t="s">
        <v>85</v>
      </c>
      <c r="J2" s="64" t="s">
        <v>86</v>
      </c>
      <c r="K2" s="1" t="s">
        <v>87</v>
      </c>
      <c r="L2" s="1" t="s">
        <v>88</v>
      </c>
      <c r="M2" s="1" t="s">
        <v>89</v>
      </c>
      <c r="N2" s="64" t="s">
        <v>90</v>
      </c>
      <c r="O2" s="1" t="s">
        <v>91</v>
      </c>
      <c r="P2" s="1" t="s">
        <v>92</v>
      </c>
      <c r="Q2" s="1" t="s">
        <v>93</v>
      </c>
      <c r="R2" s="64" t="s">
        <v>94</v>
      </c>
      <c r="S2" s="1" t="s">
        <v>95</v>
      </c>
      <c r="T2" s="1" t="s">
        <v>96</v>
      </c>
      <c r="U2" s="1" t="s">
        <v>97</v>
      </c>
      <c r="V2" s="64" t="s">
        <v>98</v>
      </c>
      <c r="W2" s="1" t="s">
        <v>260</v>
      </c>
      <c r="X2" s="1" t="s">
        <v>100</v>
      </c>
      <c r="Y2" s="1" t="s">
        <v>101</v>
      </c>
      <c r="Z2" s="64" t="s">
        <v>102</v>
      </c>
      <c r="AA2" s="1" t="s">
        <v>1101</v>
      </c>
      <c r="AB2" s="1" t="s">
        <v>1165</v>
      </c>
    </row>
    <row r="3" spans="1:28" ht="15" thickTop="1" x14ac:dyDescent="0.35">
      <c r="A3" s="495"/>
      <c r="B3" s="493"/>
      <c r="C3" s="2" t="s">
        <v>62</v>
      </c>
      <c r="D3" s="2" t="s">
        <v>62</v>
      </c>
      <c r="E3" s="2" t="s">
        <v>62</v>
      </c>
      <c r="F3" s="2" t="s">
        <v>62</v>
      </c>
      <c r="G3" s="2" t="s">
        <v>62</v>
      </c>
      <c r="H3" s="2" t="s">
        <v>62</v>
      </c>
      <c r="I3" s="2" t="s">
        <v>62</v>
      </c>
      <c r="J3" s="2" t="s">
        <v>62</v>
      </c>
      <c r="K3" s="2" t="s">
        <v>62</v>
      </c>
      <c r="L3" s="2" t="s">
        <v>62</v>
      </c>
      <c r="M3" s="2" t="s">
        <v>62</v>
      </c>
      <c r="N3" s="2" t="s">
        <v>62</v>
      </c>
      <c r="O3" s="2" t="s">
        <v>62</v>
      </c>
      <c r="P3" s="2" t="s">
        <v>62</v>
      </c>
      <c r="Q3" s="2" t="s">
        <v>62</v>
      </c>
      <c r="R3" s="2" t="s">
        <v>62</v>
      </c>
      <c r="S3" s="2" t="s">
        <v>62</v>
      </c>
      <c r="T3" s="2" t="s">
        <v>62</v>
      </c>
      <c r="U3" s="2" t="s">
        <v>62</v>
      </c>
      <c r="V3" s="2" t="s">
        <v>62</v>
      </c>
      <c r="W3" s="2" t="s">
        <v>62</v>
      </c>
      <c r="X3" s="2" t="s">
        <v>62</v>
      </c>
      <c r="Y3" s="2" t="s">
        <v>62</v>
      </c>
      <c r="Z3" s="2" t="s">
        <v>62</v>
      </c>
      <c r="AA3" s="2" t="s">
        <v>62</v>
      </c>
      <c r="AB3" s="2" t="s">
        <v>62</v>
      </c>
    </row>
    <row r="4" spans="1:28" s="31" customFormat="1" x14ac:dyDescent="0.35">
      <c r="A4" s="111" t="s">
        <v>575</v>
      </c>
      <c r="B4" s="111" t="s">
        <v>576</v>
      </c>
      <c r="C4" s="196">
        <v>-2398</v>
      </c>
      <c r="D4" s="196">
        <v>5756</v>
      </c>
      <c r="E4" s="196">
        <v>1569</v>
      </c>
      <c r="F4" s="196">
        <v>2142</v>
      </c>
      <c r="G4" s="196">
        <v>5241</v>
      </c>
      <c r="H4" s="196">
        <v>7136</v>
      </c>
      <c r="I4" s="196">
        <v>15624</v>
      </c>
      <c r="J4" s="196">
        <v>10294</v>
      </c>
      <c r="K4" s="196">
        <v>5717</v>
      </c>
      <c r="L4" s="196">
        <v>9451</v>
      </c>
      <c r="M4" s="196">
        <v>4921</v>
      </c>
      <c r="N4" s="196">
        <v>-825</v>
      </c>
      <c r="O4" s="196">
        <v>1404</v>
      </c>
      <c r="P4" s="196">
        <v>-4754</v>
      </c>
      <c r="Q4" s="196">
        <v>1806</v>
      </c>
      <c r="R4" s="196">
        <v>7633</v>
      </c>
      <c r="S4" s="196">
        <v>1337</v>
      </c>
      <c r="T4" s="196">
        <v>30043</v>
      </c>
      <c r="U4" s="251">
        <v>51310</v>
      </c>
      <c r="V4" s="251">
        <v>5958</v>
      </c>
      <c r="W4" s="251">
        <v>-17129</v>
      </c>
      <c r="X4" s="251">
        <v>-24861</v>
      </c>
      <c r="Y4" s="251">
        <v>-18437</v>
      </c>
      <c r="Z4" s="17">
        <v>-23958</v>
      </c>
      <c r="AA4" s="251">
        <f>AA5+AA20</f>
        <v>15620</v>
      </c>
      <c r="AB4" s="446">
        <f>AB5+AB20</f>
        <v>24242</v>
      </c>
    </row>
    <row r="5" spans="1:28" s="31" customFormat="1" x14ac:dyDescent="0.35">
      <c r="A5" s="111" t="s">
        <v>577</v>
      </c>
      <c r="B5" s="111" t="s">
        <v>578</v>
      </c>
      <c r="C5" s="196">
        <v>-2173</v>
      </c>
      <c r="D5" s="196">
        <v>5567</v>
      </c>
      <c r="E5" s="196">
        <v>-917</v>
      </c>
      <c r="F5" s="196">
        <v>-2106</v>
      </c>
      <c r="G5" s="196">
        <v>4199</v>
      </c>
      <c r="H5" s="196">
        <v>2294</v>
      </c>
      <c r="I5" s="196">
        <v>6889</v>
      </c>
      <c r="J5" s="196">
        <v>-740</v>
      </c>
      <c r="K5" s="196">
        <v>2780</v>
      </c>
      <c r="L5" s="196">
        <v>3786</v>
      </c>
      <c r="M5" s="196">
        <v>3176</v>
      </c>
      <c r="N5" s="196">
        <v>2538</v>
      </c>
      <c r="O5" s="196">
        <v>2425</v>
      </c>
      <c r="P5" s="196">
        <v>-1237</v>
      </c>
      <c r="Q5" s="196">
        <v>4477</v>
      </c>
      <c r="R5" s="196">
        <v>4403</v>
      </c>
      <c r="S5" s="196">
        <v>4176</v>
      </c>
      <c r="T5" s="196">
        <v>20217</v>
      </c>
      <c r="U5" s="251">
        <v>26336</v>
      </c>
      <c r="V5" s="251">
        <v>-17887</v>
      </c>
      <c r="W5" s="251">
        <v>-13141</v>
      </c>
      <c r="X5" s="251">
        <v>-24074</v>
      </c>
      <c r="Y5" s="251">
        <v>-16621</v>
      </c>
      <c r="Z5" s="251">
        <v>-12138</v>
      </c>
      <c r="AA5" s="251">
        <f>SUM(AA6:AA19)</f>
        <v>13385</v>
      </c>
      <c r="AB5" s="446">
        <f>SUM(AB6:AB19)</f>
        <v>21196</v>
      </c>
    </row>
    <row r="6" spans="1:28" ht="15" customHeight="1" x14ac:dyDescent="0.35">
      <c r="A6" s="102" t="s">
        <v>579</v>
      </c>
      <c r="B6" s="102" t="s">
        <v>580</v>
      </c>
      <c r="C6" s="8">
        <v>-362</v>
      </c>
      <c r="D6" s="8">
        <v>3542</v>
      </c>
      <c r="E6" s="8">
        <v>-1115</v>
      </c>
      <c r="F6" s="8">
        <v>-3259</v>
      </c>
      <c r="G6" s="8">
        <v>3286</v>
      </c>
      <c r="H6" s="8">
        <v>1527</v>
      </c>
      <c r="I6" s="8">
        <v>3846</v>
      </c>
      <c r="J6" s="8">
        <v>360</v>
      </c>
      <c r="K6" s="8">
        <v>512</v>
      </c>
      <c r="L6" s="8">
        <v>1547</v>
      </c>
      <c r="M6" s="8">
        <v>-1296</v>
      </c>
      <c r="N6" s="8">
        <v>-1238</v>
      </c>
      <c r="O6" s="8">
        <v>1362</v>
      </c>
      <c r="P6" s="8">
        <v>-439</v>
      </c>
      <c r="Q6" s="8">
        <v>3710</v>
      </c>
      <c r="R6" s="8">
        <v>3911</v>
      </c>
      <c r="S6" s="8">
        <v>956</v>
      </c>
      <c r="T6" s="8">
        <v>21411</v>
      </c>
      <c r="U6" s="8">
        <v>13415</v>
      </c>
      <c r="V6" s="8">
        <v>-16740</v>
      </c>
      <c r="W6" s="8">
        <v>-10366</v>
      </c>
      <c r="X6" s="8">
        <v>-16897</v>
      </c>
      <c r="Y6" s="8">
        <v>-7028</v>
      </c>
      <c r="Z6" s="8">
        <v>1531</v>
      </c>
      <c r="AA6" s="8">
        <v>10080</v>
      </c>
      <c r="AB6" s="347">
        <v>18345</v>
      </c>
    </row>
    <row r="7" spans="1:28" ht="15" customHeight="1" x14ac:dyDescent="0.35">
      <c r="A7" s="102" t="s">
        <v>581</v>
      </c>
      <c r="B7" s="102" t="s">
        <v>582</v>
      </c>
      <c r="C7" s="8">
        <v>-30</v>
      </c>
      <c r="D7" s="8">
        <v>1801</v>
      </c>
      <c r="E7" s="8">
        <v>1788</v>
      </c>
      <c r="F7" s="8">
        <v>1276</v>
      </c>
      <c r="G7" s="8">
        <v>377</v>
      </c>
      <c r="H7" s="8">
        <v>870</v>
      </c>
      <c r="I7" s="8">
        <v>1694</v>
      </c>
      <c r="J7" s="8">
        <v>1166</v>
      </c>
      <c r="K7" s="8">
        <v>1126</v>
      </c>
      <c r="L7" s="8">
        <v>935</v>
      </c>
      <c r="M7" s="8">
        <v>970</v>
      </c>
      <c r="N7" s="8">
        <v>699</v>
      </c>
      <c r="O7" s="8">
        <v>124</v>
      </c>
      <c r="P7" s="8">
        <v>-513</v>
      </c>
      <c r="Q7" s="8">
        <v>-22</v>
      </c>
      <c r="R7" s="8">
        <v>984</v>
      </c>
      <c r="S7" s="8">
        <v>684</v>
      </c>
      <c r="T7" s="8">
        <v>4142</v>
      </c>
      <c r="U7" s="8">
        <v>7807</v>
      </c>
      <c r="V7" s="8">
        <v>3842</v>
      </c>
      <c r="W7" s="8">
        <v>-2819</v>
      </c>
      <c r="X7" s="8">
        <v>-7592</v>
      </c>
      <c r="Y7" s="8">
        <v>-6006</v>
      </c>
      <c r="Z7" s="8">
        <v>-3702</v>
      </c>
      <c r="AA7" s="8">
        <v>1482</v>
      </c>
      <c r="AB7" s="347">
        <v>1027</v>
      </c>
    </row>
    <row r="8" spans="1:28" ht="15" customHeight="1" x14ac:dyDescent="0.35">
      <c r="A8" s="102" t="s">
        <v>583</v>
      </c>
      <c r="B8" s="102" t="s">
        <v>584</v>
      </c>
      <c r="C8" s="8">
        <v>0</v>
      </c>
      <c r="D8" s="8">
        <v>0</v>
      </c>
      <c r="E8" s="8">
        <v>0</v>
      </c>
      <c r="F8" s="8">
        <v>0</v>
      </c>
      <c r="G8" s="8">
        <v>0</v>
      </c>
      <c r="H8" s="8">
        <v>0</v>
      </c>
      <c r="I8" s="8">
        <v>0</v>
      </c>
      <c r="J8" s="8">
        <v>0</v>
      </c>
      <c r="K8" s="8">
        <v>0</v>
      </c>
      <c r="L8" s="8">
        <v>0</v>
      </c>
      <c r="M8" s="8">
        <v>0</v>
      </c>
      <c r="N8" s="8">
        <v>270</v>
      </c>
      <c r="O8" s="8">
        <v>478</v>
      </c>
      <c r="P8" s="8">
        <v>-440</v>
      </c>
      <c r="Q8" s="8">
        <v>922</v>
      </c>
      <c r="R8" s="8">
        <v>2374</v>
      </c>
      <c r="S8" s="8">
        <v>610</v>
      </c>
      <c r="T8" s="8">
        <v>6891</v>
      </c>
      <c r="U8" s="8">
        <v>12644</v>
      </c>
      <c r="V8" s="8">
        <v>1391</v>
      </c>
      <c r="W8" s="8">
        <v>-1929</v>
      </c>
      <c r="X8" s="8">
        <v>-1782</v>
      </c>
      <c r="Y8" s="8">
        <v>939</v>
      </c>
      <c r="Z8" s="8">
        <v>-236</v>
      </c>
      <c r="AA8" s="8">
        <v>1243</v>
      </c>
      <c r="AB8" s="347">
        <v>929</v>
      </c>
    </row>
    <row r="9" spans="1:28" ht="15" customHeight="1" x14ac:dyDescent="0.35">
      <c r="A9" s="102" t="s">
        <v>585</v>
      </c>
      <c r="B9" s="102" t="s">
        <v>586</v>
      </c>
      <c r="C9" s="8">
        <v>0</v>
      </c>
      <c r="D9" s="8">
        <v>0</v>
      </c>
      <c r="E9" s="8">
        <v>0</v>
      </c>
      <c r="F9" s="8">
        <v>-96</v>
      </c>
      <c r="G9" s="8">
        <v>536</v>
      </c>
      <c r="H9" s="8">
        <v>-103</v>
      </c>
      <c r="I9" s="8">
        <v>1500</v>
      </c>
      <c r="J9" s="8">
        <v>-1582</v>
      </c>
      <c r="K9" s="8">
        <v>1376</v>
      </c>
      <c r="L9" s="8">
        <v>1690</v>
      </c>
      <c r="M9" s="8">
        <v>4013</v>
      </c>
      <c r="N9" s="8">
        <v>866</v>
      </c>
      <c r="O9" s="8">
        <v>-64</v>
      </c>
      <c r="P9" s="8">
        <v>-171</v>
      </c>
      <c r="Q9" s="8">
        <v>-40</v>
      </c>
      <c r="R9" s="8">
        <v>-18</v>
      </c>
      <c r="S9" s="8">
        <v>838</v>
      </c>
      <c r="T9" s="8">
        <v>1018</v>
      </c>
      <c r="U9" s="8">
        <v>2812</v>
      </c>
      <c r="V9" s="8">
        <v>-780</v>
      </c>
      <c r="W9" s="8">
        <v>-1522</v>
      </c>
      <c r="X9" s="8">
        <v>-268</v>
      </c>
      <c r="Y9" s="8">
        <v>394</v>
      </c>
      <c r="Z9" s="8">
        <v>-531</v>
      </c>
      <c r="AA9" s="8">
        <v>295</v>
      </c>
      <c r="AB9" s="347">
        <v>-91</v>
      </c>
    </row>
    <row r="10" spans="1:28" ht="15" customHeight="1" x14ac:dyDescent="0.35">
      <c r="A10" s="102" t="s">
        <v>587</v>
      </c>
      <c r="B10" s="102" t="s">
        <v>588</v>
      </c>
      <c r="C10" s="8">
        <v>0</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-18</v>
      </c>
      <c r="V10" s="8">
        <v>-37</v>
      </c>
      <c r="W10" s="8">
        <v>-19</v>
      </c>
      <c r="X10" s="8">
        <v>-39</v>
      </c>
      <c r="Y10" s="8">
        <v>-59</v>
      </c>
      <c r="Z10" s="8">
        <v>-79</v>
      </c>
      <c r="AA10" s="8">
        <v>-20</v>
      </c>
      <c r="AB10" s="347">
        <v>-40</v>
      </c>
    </row>
    <row r="11" spans="1:28" ht="15" customHeight="1" x14ac:dyDescent="0.35">
      <c r="A11" s="102" t="s">
        <v>589</v>
      </c>
      <c r="B11" s="102" t="s">
        <v>590</v>
      </c>
      <c r="C11" s="8">
        <v>-26</v>
      </c>
      <c r="D11" s="8">
        <v>-26</v>
      </c>
      <c r="E11" s="8">
        <v>-26</v>
      </c>
      <c r="F11" s="8">
        <v>-27</v>
      </c>
      <c r="G11" s="8">
        <v>0</v>
      </c>
      <c r="H11" s="8">
        <v>0</v>
      </c>
      <c r="I11" s="8">
        <v>0</v>
      </c>
      <c r="J11" s="8">
        <v>0</v>
      </c>
      <c r="K11" s="8">
        <v>0</v>
      </c>
      <c r="L11" s="8">
        <v>5</v>
      </c>
      <c r="M11" s="8">
        <v>6</v>
      </c>
      <c r="N11" s="8">
        <v>0</v>
      </c>
      <c r="O11" s="8">
        <v>-12</v>
      </c>
      <c r="P11" s="8">
        <v>25</v>
      </c>
      <c r="Q11" s="8">
        <v>-54</v>
      </c>
      <c r="R11" s="8">
        <v>195</v>
      </c>
      <c r="S11" s="8">
        <v>1912</v>
      </c>
      <c r="T11" s="8">
        <v>-7223</v>
      </c>
      <c r="U11" s="8">
        <v>-2832</v>
      </c>
      <c r="V11" s="8">
        <v>10</v>
      </c>
      <c r="W11" s="8">
        <v>3459</v>
      </c>
      <c r="X11" s="8">
        <v>2122</v>
      </c>
      <c r="Y11" s="8">
        <v>-742</v>
      </c>
      <c r="Z11" s="8">
        <v>-231</v>
      </c>
      <c r="AA11" s="8">
        <v>-205</v>
      </c>
      <c r="AB11" s="347">
        <v>-365</v>
      </c>
    </row>
    <row r="12" spans="1:28" ht="15" customHeight="1" x14ac:dyDescent="0.35">
      <c r="A12" s="102" t="s">
        <v>591</v>
      </c>
      <c r="B12" s="102" t="s">
        <v>592</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-277</v>
      </c>
      <c r="AA12" s="8">
        <v>87</v>
      </c>
      <c r="AB12" s="347">
        <v>188</v>
      </c>
    </row>
    <row r="13" spans="1:28" ht="15" customHeight="1" x14ac:dyDescent="0.35">
      <c r="A13" s="102" t="s">
        <v>593</v>
      </c>
      <c r="B13" s="102" t="s">
        <v>594</v>
      </c>
      <c r="C13" s="8">
        <v>0</v>
      </c>
      <c r="D13" s="8">
        <v>0</v>
      </c>
      <c r="E13" s="8">
        <v>0</v>
      </c>
      <c r="F13" s="8">
        <v>0</v>
      </c>
      <c r="G13" s="8">
        <v>0</v>
      </c>
      <c r="H13" s="8">
        <v>0</v>
      </c>
      <c r="I13" s="8">
        <v>-151</v>
      </c>
      <c r="J13" s="8">
        <v>-594</v>
      </c>
      <c r="K13" s="8">
        <v>-159</v>
      </c>
      <c r="L13" s="8">
        <v>-309</v>
      </c>
      <c r="M13" s="8">
        <v>-454</v>
      </c>
      <c r="N13" s="8">
        <v>-609</v>
      </c>
      <c r="O13" s="8">
        <v>-157</v>
      </c>
      <c r="P13" s="8">
        <v>-307</v>
      </c>
      <c r="Q13" s="8">
        <v>-463</v>
      </c>
      <c r="R13" s="8">
        <v>-636</v>
      </c>
      <c r="S13" s="8">
        <v>-166</v>
      </c>
      <c r="T13" s="8">
        <v>-358</v>
      </c>
      <c r="U13" s="8">
        <v>-562</v>
      </c>
      <c r="V13" s="8">
        <v>-774</v>
      </c>
      <c r="W13" s="8">
        <v>-203</v>
      </c>
      <c r="X13" s="8">
        <v>-379</v>
      </c>
      <c r="Y13" s="8">
        <v>-583</v>
      </c>
      <c r="Z13" s="8">
        <v>-815</v>
      </c>
      <c r="AA13" s="8">
        <v>-244</v>
      </c>
      <c r="AB13" s="347">
        <v>-510</v>
      </c>
    </row>
    <row r="14" spans="1:28" ht="15" customHeight="1" x14ac:dyDescent="0.35">
      <c r="A14" s="102" t="s">
        <v>595</v>
      </c>
      <c r="B14" s="102" t="s">
        <v>596</v>
      </c>
      <c r="C14" s="8">
        <v>0</v>
      </c>
      <c r="D14" s="8">
        <v>0</v>
      </c>
      <c r="E14" s="8">
        <v>0</v>
      </c>
      <c r="F14" s="8">
        <v>0</v>
      </c>
      <c r="G14" s="8">
        <v>0</v>
      </c>
      <c r="H14" s="8">
        <v>0</v>
      </c>
      <c r="I14" s="8">
        <v>0</v>
      </c>
      <c r="J14" s="8">
        <v>-90</v>
      </c>
      <c r="K14" s="8">
        <v>-75</v>
      </c>
      <c r="L14" s="8">
        <v>-82</v>
      </c>
      <c r="M14" s="8">
        <v>-63</v>
      </c>
      <c r="N14" s="8">
        <v>-21</v>
      </c>
      <c r="O14" s="8">
        <v>-70</v>
      </c>
      <c r="P14" s="8">
        <v>-15</v>
      </c>
      <c r="Q14" s="8">
        <v>-77</v>
      </c>
      <c r="R14" s="8">
        <v>-109</v>
      </c>
      <c r="S14" s="8">
        <v>20</v>
      </c>
      <c r="T14" s="8">
        <v>-189</v>
      </c>
      <c r="U14" s="8">
        <v>-287</v>
      </c>
      <c r="V14" s="8">
        <v>-85</v>
      </c>
      <c r="W14" s="8">
        <v>92</v>
      </c>
      <c r="X14" s="8">
        <v>147</v>
      </c>
      <c r="Y14" s="8">
        <v>107</v>
      </c>
      <c r="Z14" s="8">
        <v>134</v>
      </c>
      <c r="AA14" s="8">
        <v>-90</v>
      </c>
      <c r="AB14" s="347">
        <v>-108</v>
      </c>
    </row>
    <row r="15" spans="1:28" ht="15" customHeight="1" x14ac:dyDescent="0.35">
      <c r="A15" s="102" t="s">
        <v>371</v>
      </c>
      <c r="B15" s="102" t="s">
        <v>372</v>
      </c>
      <c r="C15" s="8">
        <v>-45</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347">
        <v>0</v>
      </c>
    </row>
    <row r="16" spans="1:28" ht="15" customHeight="1" x14ac:dyDescent="0.35">
      <c r="A16" s="102" t="s">
        <v>597</v>
      </c>
      <c r="B16" s="102" t="s">
        <v>598</v>
      </c>
      <c r="C16" s="8">
        <v>-1710</v>
      </c>
      <c r="D16" s="8">
        <v>250</v>
      </c>
      <c r="E16" s="8">
        <v>-1564</v>
      </c>
      <c r="F16" s="8">
        <v>0</v>
      </c>
      <c r="G16" s="8">
        <v>0</v>
      </c>
      <c r="H16" s="8">
        <v>0</v>
      </c>
      <c r="I16" s="8">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347" t="s">
        <v>1176</v>
      </c>
    </row>
    <row r="17" spans="1:28" ht="15" customHeight="1" x14ac:dyDescent="0.35">
      <c r="A17" s="102" t="s">
        <v>599</v>
      </c>
      <c r="B17" s="102" t="s">
        <v>600</v>
      </c>
      <c r="C17" s="8">
        <v>0</v>
      </c>
      <c r="D17" s="8">
        <v>0</v>
      </c>
      <c r="E17" s="8">
        <v>0</v>
      </c>
      <c r="F17" s="8">
        <v>0</v>
      </c>
      <c r="G17" s="8">
        <v>0</v>
      </c>
      <c r="H17" s="8">
        <v>0</v>
      </c>
      <c r="I17" s="8">
        <v>0</v>
      </c>
      <c r="J17" s="8">
        <v>0</v>
      </c>
      <c r="K17" s="8">
        <v>0</v>
      </c>
      <c r="L17" s="8">
        <v>0</v>
      </c>
      <c r="M17" s="8">
        <v>0</v>
      </c>
      <c r="N17" s="8">
        <v>695</v>
      </c>
      <c r="O17" s="8">
        <v>764</v>
      </c>
      <c r="P17" s="8">
        <v>623</v>
      </c>
      <c r="Q17" s="8">
        <v>1246</v>
      </c>
      <c r="R17" s="8">
        <v>-1540</v>
      </c>
      <c r="S17" s="8">
        <v>-678</v>
      </c>
      <c r="T17" s="8">
        <v>-4773</v>
      </c>
      <c r="U17" s="8">
        <v>-5900</v>
      </c>
      <c r="V17" s="8">
        <v>-4417</v>
      </c>
      <c r="W17" s="8">
        <v>106</v>
      </c>
      <c r="X17" s="8">
        <v>833</v>
      </c>
      <c r="Y17" s="8">
        <v>-3362</v>
      </c>
      <c r="Z17" s="8">
        <v>-3933</v>
      </c>
      <c r="AA17" s="8">
        <v>765</v>
      </c>
      <c r="AB17" s="347">
        <v>1829</v>
      </c>
    </row>
    <row r="18" spans="1:28" ht="15" customHeight="1" x14ac:dyDescent="0.35">
      <c r="A18" s="102" t="s">
        <v>601</v>
      </c>
      <c r="B18" s="102" t="s">
        <v>602</v>
      </c>
      <c r="C18" s="8">
        <v>0</v>
      </c>
      <c r="D18" s="8">
        <v>0</v>
      </c>
      <c r="E18" s="8">
        <v>0</v>
      </c>
      <c r="F18" s="8">
        <v>0</v>
      </c>
      <c r="G18" s="8">
        <v>0</v>
      </c>
      <c r="H18" s="8">
        <v>0</v>
      </c>
      <c r="I18" s="8">
        <v>0</v>
      </c>
      <c r="J18" s="8">
        <v>0</v>
      </c>
      <c r="K18" s="8">
        <v>0</v>
      </c>
      <c r="L18" s="8">
        <v>0</v>
      </c>
      <c r="M18" s="8">
        <v>0</v>
      </c>
      <c r="N18" s="8">
        <v>-3200</v>
      </c>
      <c r="O18" s="8">
        <v>0</v>
      </c>
      <c r="P18" s="8">
        <v>0</v>
      </c>
      <c r="Q18" s="8">
        <v>-745</v>
      </c>
      <c r="R18" s="8">
        <v>-758</v>
      </c>
      <c r="S18" s="8">
        <v>0</v>
      </c>
      <c r="T18" s="8">
        <v>0</v>
      </c>
      <c r="U18" s="8" t="s">
        <v>178</v>
      </c>
      <c r="V18" s="8">
        <v>0</v>
      </c>
      <c r="W18" s="8">
        <v>0</v>
      </c>
      <c r="X18" s="8">
        <v>0</v>
      </c>
      <c r="Y18" s="8">
        <v>-49</v>
      </c>
      <c r="Z18" s="8">
        <v>-1624</v>
      </c>
      <c r="AA18" s="8">
        <v>0</v>
      </c>
      <c r="AB18" s="347">
        <v>0</v>
      </c>
    </row>
    <row r="19" spans="1:28" ht="15" customHeight="1" x14ac:dyDescent="0.35">
      <c r="A19" s="102" t="s">
        <v>381</v>
      </c>
      <c r="B19" s="102" t="s">
        <v>382</v>
      </c>
      <c r="C19" s="8">
        <v>0</v>
      </c>
      <c r="D19" s="8">
        <v>0</v>
      </c>
      <c r="E19" s="8">
        <v>0</v>
      </c>
      <c r="F19" s="8">
        <v>0</v>
      </c>
      <c r="G19" s="8">
        <v>0</v>
      </c>
      <c r="H19" s="8">
        <v>0</v>
      </c>
      <c r="I19" s="8">
        <v>0</v>
      </c>
      <c r="J19" s="8">
        <v>0</v>
      </c>
      <c r="K19" s="8">
        <v>0</v>
      </c>
      <c r="L19" s="8">
        <v>0</v>
      </c>
      <c r="M19" s="8">
        <v>0</v>
      </c>
      <c r="N19" s="8">
        <v>0</v>
      </c>
      <c r="O19" s="8">
        <v>0</v>
      </c>
      <c r="P19" s="8">
        <v>0</v>
      </c>
      <c r="Q19" s="8">
        <v>0</v>
      </c>
      <c r="R19" s="8">
        <v>0</v>
      </c>
      <c r="S19" s="8">
        <v>0</v>
      </c>
      <c r="T19" s="8">
        <v>-702</v>
      </c>
      <c r="U19" s="8">
        <v>-743</v>
      </c>
      <c r="V19" s="8">
        <v>-297</v>
      </c>
      <c r="W19" s="8">
        <v>60</v>
      </c>
      <c r="X19" s="8">
        <v>-219</v>
      </c>
      <c r="Y19" s="8">
        <v>-232</v>
      </c>
      <c r="Z19" s="8">
        <v>-2375</v>
      </c>
      <c r="AA19" s="8">
        <v>-8</v>
      </c>
      <c r="AB19" s="347">
        <v>-8</v>
      </c>
    </row>
    <row r="20" spans="1:28" s="31" customFormat="1" ht="15" customHeight="1" x14ac:dyDescent="0.35">
      <c r="A20" s="111" t="s">
        <v>603</v>
      </c>
      <c r="B20" s="111" t="s">
        <v>604</v>
      </c>
      <c r="C20" s="196">
        <v>-225</v>
      </c>
      <c r="D20" s="196">
        <v>189</v>
      </c>
      <c r="E20" s="196">
        <v>2486</v>
      </c>
      <c r="F20" s="196">
        <v>-36</v>
      </c>
      <c r="G20" s="196">
        <v>1042</v>
      </c>
      <c r="H20" s="196">
        <v>4842</v>
      </c>
      <c r="I20" s="196">
        <v>8735</v>
      </c>
      <c r="J20" s="196">
        <v>11034</v>
      </c>
      <c r="K20" s="196">
        <v>2937</v>
      </c>
      <c r="L20" s="196">
        <v>5665</v>
      </c>
      <c r="M20" s="196">
        <v>1745</v>
      </c>
      <c r="N20" s="196">
        <v>1713</v>
      </c>
      <c r="O20" s="196">
        <v>-1021</v>
      </c>
      <c r="P20" s="196">
        <v>-3517</v>
      </c>
      <c r="Q20" s="196">
        <v>-2671</v>
      </c>
      <c r="R20" s="196">
        <v>3230</v>
      </c>
      <c r="S20" s="196">
        <v>-2839</v>
      </c>
      <c r="T20" s="196">
        <v>9826</v>
      </c>
      <c r="U20" s="251">
        <v>24974</v>
      </c>
      <c r="V20" s="251">
        <v>23845</v>
      </c>
      <c r="W20" s="251">
        <v>-3988</v>
      </c>
      <c r="X20" s="251">
        <v>-787</v>
      </c>
      <c r="Y20" s="251">
        <v>-1816</v>
      </c>
      <c r="Z20" s="251">
        <v>-11820</v>
      </c>
      <c r="AA20" s="251">
        <f>SUM(AA21:AA30)</f>
        <v>2235</v>
      </c>
      <c r="AB20" s="446">
        <f>SUM(AB21:AB30)</f>
        <v>3046</v>
      </c>
    </row>
    <row r="21" spans="1:28" ht="15" customHeight="1" x14ac:dyDescent="0.35">
      <c r="A21" s="102" t="s">
        <v>605</v>
      </c>
      <c r="B21" s="102" t="s">
        <v>606</v>
      </c>
      <c r="C21" s="8">
        <v>0</v>
      </c>
      <c r="D21" s="8">
        <v>0</v>
      </c>
      <c r="E21" s="8">
        <v>0</v>
      </c>
      <c r="F21" s="8">
        <v>0</v>
      </c>
      <c r="G21" s="8">
        <v>0</v>
      </c>
      <c r="H21" s="8">
        <v>0</v>
      </c>
      <c r="I21" s="8">
        <v>0</v>
      </c>
      <c r="J21" s="8">
        <v>0</v>
      </c>
      <c r="K21" s="8">
        <v>0</v>
      </c>
      <c r="L21" s="8">
        <v>0</v>
      </c>
      <c r="M21" s="8">
        <v>0</v>
      </c>
      <c r="N21" s="8">
        <v>0</v>
      </c>
      <c r="O21" s="8">
        <v>0</v>
      </c>
      <c r="P21" s="8">
        <v>0</v>
      </c>
      <c r="Q21" s="8">
        <v>0</v>
      </c>
      <c r="R21" s="8">
        <v>0</v>
      </c>
      <c r="S21" s="8">
        <v>1077</v>
      </c>
      <c r="T21" s="8">
        <v>-735</v>
      </c>
      <c r="U21" s="8">
        <v>-4769</v>
      </c>
      <c r="V21" s="8">
        <v>-6380</v>
      </c>
      <c r="W21" s="8">
        <v>146</v>
      </c>
      <c r="X21" s="8">
        <v>4201</v>
      </c>
      <c r="Y21" s="8">
        <v>6040</v>
      </c>
      <c r="Z21" s="8">
        <v>6524</v>
      </c>
      <c r="AA21" s="8">
        <v>-495</v>
      </c>
      <c r="AB21" s="347">
        <v>16</v>
      </c>
    </row>
    <row r="22" spans="1:28" ht="15" customHeight="1" x14ac:dyDescent="0.35">
      <c r="A22" s="102" t="s">
        <v>607</v>
      </c>
      <c r="B22" s="102" t="s">
        <v>608</v>
      </c>
      <c r="C22" s="8">
        <v>-345</v>
      </c>
      <c r="D22" s="8">
        <v>-674</v>
      </c>
      <c r="E22" s="8">
        <v>-47</v>
      </c>
      <c r="F22" s="8">
        <v>316</v>
      </c>
      <c r="G22" s="8">
        <v>803</v>
      </c>
      <c r="H22" s="8">
        <v>3846</v>
      </c>
      <c r="I22" s="8">
        <v>6684</v>
      </c>
      <c r="J22" s="8">
        <v>8971</v>
      </c>
      <c r="K22" s="8">
        <v>2338</v>
      </c>
      <c r="L22" s="8">
        <v>4729</v>
      </c>
      <c r="M22" s="8">
        <v>1392</v>
      </c>
      <c r="N22" s="8">
        <v>-323</v>
      </c>
      <c r="O22" s="8">
        <v>91</v>
      </c>
      <c r="P22" s="8">
        <v>-1618</v>
      </c>
      <c r="Q22" s="8">
        <v>-1274</v>
      </c>
      <c r="R22" s="8">
        <v>2240</v>
      </c>
      <c r="S22" s="8">
        <v>-4181</v>
      </c>
      <c r="T22" s="8">
        <v>7016</v>
      </c>
      <c r="U22" s="8">
        <v>24692</v>
      </c>
      <c r="V22" s="8">
        <v>24636</v>
      </c>
      <c r="W22" s="8">
        <v>-7487</v>
      </c>
      <c r="X22" s="8">
        <v>-19301</v>
      </c>
      <c r="Y22" s="8">
        <v>-24568</v>
      </c>
      <c r="Z22" s="8">
        <v>-39025</v>
      </c>
      <c r="AA22" s="8">
        <v>932</v>
      </c>
      <c r="AB22" s="347">
        <v>687</v>
      </c>
    </row>
    <row r="23" spans="1:28" ht="15" customHeight="1" x14ac:dyDescent="0.35">
      <c r="A23" s="102" t="s">
        <v>609</v>
      </c>
      <c r="B23" s="102" t="s">
        <v>610</v>
      </c>
      <c r="C23" s="8">
        <v>52</v>
      </c>
      <c r="D23" s="8">
        <v>759</v>
      </c>
      <c r="E23" s="8">
        <v>855</v>
      </c>
      <c r="F23" s="8">
        <v>1305</v>
      </c>
      <c r="G23" s="8">
        <v>-8</v>
      </c>
      <c r="H23" s="8">
        <v>633</v>
      </c>
      <c r="I23" s="8">
        <v>1382</v>
      </c>
      <c r="J23" s="8">
        <v>1283</v>
      </c>
      <c r="K23" s="8">
        <v>597</v>
      </c>
      <c r="L23" s="8">
        <v>393</v>
      </c>
      <c r="M23" s="8">
        <v>-4</v>
      </c>
      <c r="N23" s="8">
        <v>1186</v>
      </c>
      <c r="O23" s="8">
        <v>-1440</v>
      </c>
      <c r="P23" s="8">
        <v>-2418</v>
      </c>
      <c r="Q23" s="8">
        <v>-2495</v>
      </c>
      <c r="R23" s="8">
        <v>-1980</v>
      </c>
      <c r="S23" s="8">
        <v>-33</v>
      </c>
      <c r="T23" s="8">
        <v>2247</v>
      </c>
      <c r="U23" s="8">
        <v>3239</v>
      </c>
      <c r="V23" s="8">
        <v>1651</v>
      </c>
      <c r="W23" s="8">
        <v>-1039</v>
      </c>
      <c r="X23" s="8">
        <v>-2668</v>
      </c>
      <c r="Y23" s="8">
        <v>-2125</v>
      </c>
      <c r="Z23" s="8">
        <v>-2398</v>
      </c>
      <c r="AA23" s="8">
        <v>1127</v>
      </c>
      <c r="AB23" s="347">
        <v>517</v>
      </c>
    </row>
    <row r="24" spans="1:28" ht="15" customHeight="1" x14ac:dyDescent="0.35">
      <c r="A24" s="102" t="s">
        <v>611</v>
      </c>
      <c r="B24" s="102" t="s">
        <v>424</v>
      </c>
      <c r="C24" s="8">
        <v>0</v>
      </c>
      <c r="D24" s="8">
        <v>1</v>
      </c>
      <c r="E24" s="8">
        <v>15</v>
      </c>
      <c r="F24" s="8">
        <v>15</v>
      </c>
      <c r="G24" s="8">
        <v>0</v>
      </c>
      <c r="H24" s="8">
        <v>1</v>
      </c>
      <c r="I24" s="8">
        <v>2</v>
      </c>
      <c r="J24" s="8">
        <v>1</v>
      </c>
      <c r="K24" s="8">
        <v>1</v>
      </c>
      <c r="L24" s="8">
        <v>4</v>
      </c>
      <c r="M24" s="8">
        <v>0</v>
      </c>
      <c r="N24" s="8">
        <v>2</v>
      </c>
      <c r="O24" s="8">
        <v>0</v>
      </c>
      <c r="P24" s="8">
        <v>8</v>
      </c>
      <c r="Q24" s="8">
        <v>6</v>
      </c>
      <c r="R24" s="8">
        <v>9</v>
      </c>
      <c r="S24" s="8">
        <v>0</v>
      </c>
      <c r="T24" s="8">
        <v>5</v>
      </c>
      <c r="U24" s="8">
        <v>26</v>
      </c>
      <c r="V24" s="8">
        <v>43</v>
      </c>
      <c r="W24" s="8">
        <v>0</v>
      </c>
      <c r="X24" s="8">
        <v>5</v>
      </c>
      <c r="Y24" s="8">
        <v>5</v>
      </c>
      <c r="Z24" s="8">
        <v>21</v>
      </c>
      <c r="AA24" s="8">
        <v>0</v>
      </c>
      <c r="AB24" s="347">
        <v>7</v>
      </c>
    </row>
    <row r="25" spans="1:28" ht="15" customHeight="1" x14ac:dyDescent="0.35">
      <c r="A25" s="102" t="s">
        <v>612</v>
      </c>
      <c r="B25" s="102" t="s">
        <v>422</v>
      </c>
      <c r="C25" s="8">
        <v>266</v>
      </c>
      <c r="D25" s="8">
        <v>1251</v>
      </c>
      <c r="E25" s="8">
        <v>2159</v>
      </c>
      <c r="F25" s="8">
        <v>1349</v>
      </c>
      <c r="G25" s="8">
        <v>242</v>
      </c>
      <c r="H25" s="8">
        <v>442</v>
      </c>
      <c r="I25" s="8">
        <v>798</v>
      </c>
      <c r="J25" s="8">
        <v>914</v>
      </c>
      <c r="K25" s="8">
        <v>252</v>
      </c>
      <c r="L25" s="8">
        <v>522</v>
      </c>
      <c r="M25" s="8">
        <v>763</v>
      </c>
      <c r="N25" s="8">
        <v>915</v>
      </c>
      <c r="O25" s="8">
        <v>126</v>
      </c>
      <c r="P25" s="8">
        <v>394</v>
      </c>
      <c r="Q25" s="8">
        <v>937</v>
      </c>
      <c r="R25" s="8">
        <v>2950</v>
      </c>
      <c r="S25" s="8">
        <v>660</v>
      </c>
      <c r="T25" s="8">
        <v>6258</v>
      </c>
      <c r="U25" s="8">
        <v>7777</v>
      </c>
      <c r="V25" s="8">
        <v>13418</v>
      </c>
      <c r="W25" s="8">
        <v>2816</v>
      </c>
      <c r="X25" s="8">
        <v>13046</v>
      </c>
      <c r="Y25" s="8">
        <v>15687</v>
      </c>
      <c r="Z25" s="8">
        <v>24844</v>
      </c>
      <c r="AA25" s="8">
        <v>2160</v>
      </c>
      <c r="AB25" s="347">
        <v>10101</v>
      </c>
    </row>
    <row r="26" spans="1:28" ht="15" customHeight="1" x14ac:dyDescent="0.35">
      <c r="A26" s="102" t="s">
        <v>613</v>
      </c>
      <c r="B26" s="102" t="s">
        <v>614</v>
      </c>
      <c r="C26" s="8">
        <v>-4</v>
      </c>
      <c r="D26" s="8">
        <v>0</v>
      </c>
      <c r="E26" s="8">
        <v>-2</v>
      </c>
      <c r="F26" s="8">
        <v>-2</v>
      </c>
      <c r="G26" s="8">
        <v>0</v>
      </c>
      <c r="H26" s="8">
        <v>-1</v>
      </c>
      <c r="I26" s="8">
        <v>-1</v>
      </c>
      <c r="J26" s="8">
        <v>-1</v>
      </c>
      <c r="K26" s="8">
        <v>-19</v>
      </c>
      <c r="L26" s="8">
        <v>-19</v>
      </c>
      <c r="M26" s="8">
        <v>-19</v>
      </c>
      <c r="N26" s="8">
        <v>-22</v>
      </c>
      <c r="O26" s="8">
        <v>-10</v>
      </c>
      <c r="P26" s="8">
        <v>-14</v>
      </c>
      <c r="Q26" s="8">
        <v>-23</v>
      </c>
      <c r="R26" s="8">
        <v>-27</v>
      </c>
      <c r="S26" s="8">
        <v>-6</v>
      </c>
      <c r="T26" s="8">
        <v>-4572</v>
      </c>
      <c r="U26" s="8">
        <v>-4660</v>
      </c>
      <c r="V26" s="8">
        <v>-7256</v>
      </c>
      <c r="W26" s="8">
        <v>-111</v>
      </c>
      <c r="X26" s="8">
        <v>-8623</v>
      </c>
      <c r="Y26" s="8">
        <v>-8884</v>
      </c>
      <c r="Z26" s="8">
        <v>-14525</v>
      </c>
      <c r="AA26" s="8">
        <v>-484</v>
      </c>
      <c r="AB26" s="347">
        <v>-7576</v>
      </c>
    </row>
    <row r="27" spans="1:28" ht="15" customHeight="1" x14ac:dyDescent="0.35">
      <c r="A27" s="102" t="s">
        <v>615</v>
      </c>
      <c r="B27" s="102" t="s">
        <v>616</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-785</v>
      </c>
      <c r="U27" s="8">
        <v>-1666</v>
      </c>
      <c r="V27" s="8">
        <v>-95</v>
      </c>
      <c r="W27" s="8">
        <v>1545</v>
      </c>
      <c r="X27" s="8">
        <v>2347</v>
      </c>
      <c r="Y27" s="8">
        <v>2062</v>
      </c>
      <c r="Z27" s="8">
        <v>3458</v>
      </c>
      <c r="AA27" s="8">
        <v>-944</v>
      </c>
      <c r="AB27" s="347">
        <v>-135</v>
      </c>
    </row>
    <row r="28" spans="1:28" x14ac:dyDescent="0.35">
      <c r="A28" s="102" t="s">
        <v>617</v>
      </c>
      <c r="B28" s="102" t="s">
        <v>618</v>
      </c>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t="s">
        <v>178</v>
      </c>
      <c r="V28" s="8">
        <v>-3112</v>
      </c>
      <c r="W28" s="8">
        <v>72</v>
      </c>
      <c r="X28" s="8">
        <v>-1952</v>
      </c>
      <c r="Y28" s="8">
        <v>-1953</v>
      </c>
      <c r="Z28" s="8">
        <v>-1954</v>
      </c>
      <c r="AA28" s="8">
        <v>0</v>
      </c>
      <c r="AB28" s="347">
        <v>-237</v>
      </c>
    </row>
    <row r="29" spans="1:28" x14ac:dyDescent="0.35">
      <c r="A29" s="102" t="s">
        <v>391</v>
      </c>
      <c r="B29" s="102" t="s">
        <v>392</v>
      </c>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t="s">
        <v>178</v>
      </c>
      <c r="V29" s="8">
        <v>0</v>
      </c>
      <c r="W29" s="8">
        <v>0</v>
      </c>
      <c r="X29" s="8">
        <v>12000</v>
      </c>
      <c r="Y29" s="8">
        <v>12000</v>
      </c>
      <c r="Z29" s="8">
        <v>11436</v>
      </c>
      <c r="AA29" s="8">
        <v>0</v>
      </c>
      <c r="AB29" s="347" t="s">
        <v>1176</v>
      </c>
    </row>
    <row r="30" spans="1:28" x14ac:dyDescent="0.35">
      <c r="A30" s="102" t="s">
        <v>619</v>
      </c>
      <c r="B30" s="102" t="s">
        <v>620</v>
      </c>
      <c r="C30" s="8">
        <v>-194</v>
      </c>
      <c r="D30" s="8">
        <v>-1148</v>
      </c>
      <c r="E30" s="8">
        <v>-494</v>
      </c>
      <c r="F30" s="8">
        <v>-3019</v>
      </c>
      <c r="G30" s="8">
        <v>5</v>
      </c>
      <c r="H30" s="8">
        <v>-79</v>
      </c>
      <c r="I30" s="8">
        <v>-130</v>
      </c>
      <c r="J30" s="8">
        <v>-134</v>
      </c>
      <c r="K30" s="8">
        <v>-232</v>
      </c>
      <c r="L30" s="8">
        <v>36</v>
      </c>
      <c r="M30" s="8">
        <v>-387</v>
      </c>
      <c r="N30" s="8">
        <v>-45</v>
      </c>
      <c r="O30" s="8">
        <v>212</v>
      </c>
      <c r="P30" s="8">
        <v>131</v>
      </c>
      <c r="Q30" s="8">
        <v>178</v>
      </c>
      <c r="R30" s="8">
        <v>38</v>
      </c>
      <c r="S30" s="8">
        <v>-356</v>
      </c>
      <c r="T30" s="8">
        <v>392</v>
      </c>
      <c r="U30" s="8">
        <v>335</v>
      </c>
      <c r="V30" s="8">
        <v>940</v>
      </c>
      <c r="W30" s="8">
        <v>70</v>
      </c>
      <c r="X30" s="8">
        <v>158</v>
      </c>
      <c r="Y30" s="8">
        <v>-80</v>
      </c>
      <c r="Z30" s="8">
        <v>-201</v>
      </c>
      <c r="AA30" s="8">
        <v>-61</v>
      </c>
      <c r="AB30" s="347">
        <v>-334</v>
      </c>
    </row>
    <row r="31" spans="1:28" x14ac:dyDescent="0.35">
      <c r="C31" s="20"/>
      <c r="D31" s="198"/>
      <c r="E31" s="20"/>
      <c r="F31" s="20"/>
      <c r="G31" s="20"/>
      <c r="H31" s="20"/>
      <c r="I31" s="20"/>
      <c r="J31" s="20"/>
      <c r="K31" s="20"/>
      <c r="L31" s="20"/>
      <c r="M31" s="20"/>
      <c r="N31" s="20"/>
      <c r="O31" s="20"/>
      <c r="P31" s="20"/>
      <c r="Q31" s="20"/>
      <c r="R31" s="20"/>
      <c r="S31" s="20"/>
      <c r="T31" s="20"/>
      <c r="Z31" s="8"/>
    </row>
    <row r="32" spans="1:28" ht="15" thickBot="1" x14ac:dyDescent="0.4"/>
    <row r="33" spans="1:28" ht="15" thickBot="1" x14ac:dyDescent="0.4">
      <c r="A33" s="494" t="s">
        <v>573</v>
      </c>
      <c r="B33" s="492" t="s">
        <v>574</v>
      </c>
      <c r="C33" s="1" t="s">
        <v>79</v>
      </c>
      <c r="D33" s="1" t="s">
        <v>80</v>
      </c>
      <c r="E33" s="1" t="s">
        <v>81</v>
      </c>
      <c r="F33" s="64" t="s">
        <v>82</v>
      </c>
      <c r="G33" s="1" t="s">
        <v>83</v>
      </c>
      <c r="H33" s="1" t="s">
        <v>84</v>
      </c>
      <c r="I33" s="1" t="s">
        <v>85</v>
      </c>
      <c r="J33" s="64" t="s">
        <v>86</v>
      </c>
      <c r="K33" s="1" t="s">
        <v>87</v>
      </c>
      <c r="L33" s="1" t="s">
        <v>88</v>
      </c>
      <c r="M33" s="1" t="s">
        <v>89</v>
      </c>
      <c r="N33" s="64" t="s">
        <v>90</v>
      </c>
      <c r="O33" s="1" t="s">
        <v>91</v>
      </c>
      <c r="P33" s="1" t="s">
        <v>92</v>
      </c>
      <c r="Q33" s="1" t="s">
        <v>93</v>
      </c>
      <c r="R33" s="64" t="s">
        <v>94</v>
      </c>
      <c r="S33" s="1" t="s">
        <v>95</v>
      </c>
      <c r="T33" s="1" t="s">
        <v>96</v>
      </c>
      <c r="U33" s="1" t="s">
        <v>97</v>
      </c>
      <c r="V33" s="64" t="s">
        <v>98</v>
      </c>
      <c r="W33" s="1" t="s">
        <v>260</v>
      </c>
      <c r="X33" s="1" t="s">
        <v>100</v>
      </c>
      <c r="Y33" s="1" t="s">
        <v>101</v>
      </c>
      <c r="Z33" s="64" t="s">
        <v>102</v>
      </c>
      <c r="AA33" s="1" t="s">
        <v>1101</v>
      </c>
      <c r="AB33" s="1" t="s">
        <v>1165</v>
      </c>
    </row>
    <row r="34" spans="1:28" ht="15" thickTop="1" x14ac:dyDescent="0.35">
      <c r="A34" s="495"/>
      <c r="B34" s="493"/>
      <c r="C34" s="2" t="s">
        <v>251</v>
      </c>
      <c r="D34" s="2" t="s">
        <v>251</v>
      </c>
      <c r="E34" s="2" t="s">
        <v>251</v>
      </c>
      <c r="F34" s="2" t="s">
        <v>251</v>
      </c>
      <c r="G34" s="2" t="s">
        <v>251</v>
      </c>
      <c r="H34" s="2" t="s">
        <v>251</v>
      </c>
      <c r="I34" s="2" t="s">
        <v>251</v>
      </c>
      <c r="J34" s="2" t="s">
        <v>251</v>
      </c>
      <c r="K34" s="2" t="s">
        <v>251</v>
      </c>
      <c r="L34" s="2" t="s">
        <v>251</v>
      </c>
      <c r="M34" s="2" t="s">
        <v>251</v>
      </c>
      <c r="N34" s="2" t="s">
        <v>251</v>
      </c>
      <c r="O34" s="2" t="s">
        <v>251</v>
      </c>
      <c r="P34" s="2" t="s">
        <v>251</v>
      </c>
      <c r="Q34" s="2" t="s">
        <v>251</v>
      </c>
      <c r="R34" s="2" t="s">
        <v>251</v>
      </c>
      <c r="S34" s="2" t="s">
        <v>251</v>
      </c>
      <c r="T34" s="2" t="s">
        <v>251</v>
      </c>
      <c r="U34" s="2" t="s">
        <v>251</v>
      </c>
      <c r="V34" s="2" t="s">
        <v>251</v>
      </c>
      <c r="W34" s="2" t="s">
        <v>251</v>
      </c>
      <c r="X34" s="2" t="s">
        <v>251</v>
      </c>
      <c r="Y34" s="2" t="s">
        <v>251</v>
      </c>
      <c r="Z34" s="2" t="s">
        <v>251</v>
      </c>
      <c r="AA34" s="2" t="s">
        <v>251</v>
      </c>
      <c r="AB34" s="2" t="s">
        <v>251</v>
      </c>
    </row>
    <row r="35" spans="1:28" s="31" customFormat="1" x14ac:dyDescent="0.35">
      <c r="A35" s="111" t="s">
        <v>575</v>
      </c>
      <c r="B35" s="111" t="s">
        <v>576</v>
      </c>
      <c r="C35" s="152">
        <v>-7.7</v>
      </c>
      <c r="D35" s="152">
        <v>18.3</v>
      </c>
      <c r="E35" s="152">
        <v>4.8</v>
      </c>
      <c r="F35" s="152">
        <v>-6.7</v>
      </c>
      <c r="G35" s="152">
        <v>16.5</v>
      </c>
      <c r="H35" s="153">
        <v>22.3</v>
      </c>
      <c r="I35" s="152">
        <v>48.4</v>
      </c>
      <c r="J35" s="152">
        <v>31.7</v>
      </c>
      <c r="K35" s="152">
        <v>16.8</v>
      </c>
      <c r="L35" s="152">
        <v>27.3</v>
      </c>
      <c r="M35" s="152">
        <v>14.1</v>
      </c>
      <c r="N35" s="152">
        <v>-2.4</v>
      </c>
      <c r="O35" s="152">
        <v>3.9</v>
      </c>
      <c r="P35" s="152">
        <v>-13.3</v>
      </c>
      <c r="Q35" s="152">
        <v>5.0999999999999996</v>
      </c>
      <c r="R35" s="152">
        <v>21.3</v>
      </c>
      <c r="S35" s="152">
        <v>3.6</v>
      </c>
      <c r="T35" s="152">
        <v>79.400000000000006</v>
      </c>
      <c r="U35" s="153">
        <v>132.5</v>
      </c>
      <c r="V35" s="153">
        <v>15.1</v>
      </c>
      <c r="W35" s="153">
        <v>-44.1</v>
      </c>
      <c r="X35" s="153">
        <v>-65.3</v>
      </c>
      <c r="Y35" s="153">
        <v>-48.3</v>
      </c>
      <c r="Z35" s="153">
        <v>-62.7</v>
      </c>
      <c r="AA35" s="153">
        <f>AA36+AA51</f>
        <v>40.199999999999996</v>
      </c>
      <c r="AB35" s="365">
        <f>AB36+AB51</f>
        <v>62.2</v>
      </c>
    </row>
    <row r="36" spans="1:28" s="31" customFormat="1" x14ac:dyDescent="0.35">
      <c r="A36" s="111" t="s">
        <v>577</v>
      </c>
      <c r="B36" s="111" t="s">
        <v>578</v>
      </c>
      <c r="C36" s="153">
        <v>-7.1</v>
      </c>
      <c r="D36" s="153">
        <v>17.600000000000001</v>
      </c>
      <c r="E36" s="153">
        <v>-3</v>
      </c>
      <c r="F36" s="153">
        <v>-6.6</v>
      </c>
      <c r="G36" s="153">
        <v>13.2</v>
      </c>
      <c r="H36" s="153">
        <v>7.2</v>
      </c>
      <c r="I36" s="153">
        <v>21.3</v>
      </c>
      <c r="J36" s="153">
        <v>-2.2000000000000002</v>
      </c>
      <c r="K36" s="153">
        <v>8.1999999999999993</v>
      </c>
      <c r="L36" s="153">
        <v>11</v>
      </c>
      <c r="M36" s="153">
        <v>9.1</v>
      </c>
      <c r="N36" s="153">
        <v>-7.3</v>
      </c>
      <c r="O36" s="153">
        <v>6.7</v>
      </c>
      <c r="P36" s="153">
        <v>-3.5</v>
      </c>
      <c r="Q36" s="153">
        <v>12.6</v>
      </c>
      <c r="R36" s="153">
        <v>12.3</v>
      </c>
      <c r="S36" s="153">
        <v>11.4</v>
      </c>
      <c r="T36" s="153">
        <v>53.4</v>
      </c>
      <c r="U36" s="153">
        <v>68</v>
      </c>
      <c r="V36" s="153">
        <v>-45.5</v>
      </c>
      <c r="W36" s="153">
        <v>-33.799999999999997</v>
      </c>
      <c r="X36" s="153">
        <v>-63.1</v>
      </c>
      <c r="Y36" s="153">
        <v>-43.5</v>
      </c>
      <c r="Z36" s="153">
        <v>-31.8</v>
      </c>
      <c r="AA36" s="153">
        <f>SUM(AA37:AA50)</f>
        <v>34.4</v>
      </c>
      <c r="AB36" s="365">
        <f>SUM(AB37:AB50)</f>
        <v>54.400000000000006</v>
      </c>
    </row>
    <row r="37" spans="1:28" x14ac:dyDescent="0.35">
      <c r="A37" s="102" t="s">
        <v>579</v>
      </c>
      <c r="B37" s="102" t="s">
        <v>580</v>
      </c>
      <c r="C37" s="27">
        <v>-1.2</v>
      </c>
      <c r="D37" s="27">
        <v>11.2</v>
      </c>
      <c r="E37" s="27">
        <v>-3.6</v>
      </c>
      <c r="F37" s="27">
        <v>-10.199999999999999</v>
      </c>
      <c r="G37" s="27">
        <v>10.3</v>
      </c>
      <c r="H37" s="27">
        <v>4.8</v>
      </c>
      <c r="I37" s="27">
        <v>11.9</v>
      </c>
      <c r="J37" s="27">
        <v>1.1000000000000001</v>
      </c>
      <c r="K37" s="27">
        <v>1.5</v>
      </c>
      <c r="L37" s="27">
        <v>4.5</v>
      </c>
      <c r="M37" s="27">
        <v>-3.7</v>
      </c>
      <c r="N37" s="27">
        <v>-3.5</v>
      </c>
      <c r="O37" s="27">
        <v>3.8</v>
      </c>
      <c r="P37" s="27">
        <v>-1.2</v>
      </c>
      <c r="Q37" s="27">
        <v>10.4</v>
      </c>
      <c r="R37" s="27">
        <v>10.9</v>
      </c>
      <c r="S37" s="27">
        <v>2.6</v>
      </c>
      <c r="T37" s="27">
        <v>56.6</v>
      </c>
      <c r="U37" s="27">
        <v>34.6</v>
      </c>
      <c r="V37" s="27">
        <v>-42.5</v>
      </c>
      <c r="W37" s="27">
        <v>-26.7</v>
      </c>
      <c r="X37" s="27">
        <v>-44.3</v>
      </c>
      <c r="Y37" s="27">
        <v>-18.399999999999999</v>
      </c>
      <c r="Z37" s="27">
        <v>4</v>
      </c>
      <c r="AA37" s="27">
        <v>25.9</v>
      </c>
      <c r="AB37" s="366">
        <v>47</v>
      </c>
    </row>
    <row r="38" spans="1:28" x14ac:dyDescent="0.35">
      <c r="A38" s="102" t="s">
        <v>621</v>
      </c>
      <c r="B38" s="102" t="s">
        <v>582</v>
      </c>
      <c r="C38" s="27">
        <v>-0.1</v>
      </c>
      <c r="D38" s="27">
        <v>5.7</v>
      </c>
      <c r="E38" s="27">
        <v>5.6</v>
      </c>
      <c r="F38" s="27">
        <v>4</v>
      </c>
      <c r="G38" s="27">
        <v>1.2</v>
      </c>
      <c r="H38" s="27">
        <v>2.7</v>
      </c>
      <c r="I38" s="27">
        <v>5.2</v>
      </c>
      <c r="J38" s="27">
        <v>3.6</v>
      </c>
      <c r="K38" s="27">
        <v>3.3</v>
      </c>
      <c r="L38" s="27">
        <v>2.7</v>
      </c>
      <c r="M38" s="27">
        <v>2.8</v>
      </c>
      <c r="N38" s="27">
        <v>2</v>
      </c>
      <c r="O38" s="27">
        <v>0.3</v>
      </c>
      <c r="P38" s="27">
        <v>-1.5</v>
      </c>
      <c r="Q38" s="27">
        <v>-0.1</v>
      </c>
      <c r="R38" s="27">
        <v>2.7</v>
      </c>
      <c r="S38" s="27">
        <v>1.9</v>
      </c>
      <c r="T38" s="27">
        <v>10.9</v>
      </c>
      <c r="U38" s="27">
        <v>20.2</v>
      </c>
      <c r="V38" s="27">
        <v>9.8000000000000007</v>
      </c>
      <c r="W38" s="27">
        <v>-7.3</v>
      </c>
      <c r="X38" s="27">
        <v>-19.899999999999999</v>
      </c>
      <c r="Y38" s="27">
        <v>-15.7</v>
      </c>
      <c r="Z38" s="27">
        <v>-9.6999999999999993</v>
      </c>
      <c r="AA38" s="27">
        <v>3.8</v>
      </c>
      <c r="AB38" s="366">
        <v>2.6</v>
      </c>
    </row>
    <row r="39" spans="1:28" x14ac:dyDescent="0.35">
      <c r="A39" s="102" t="s">
        <v>622</v>
      </c>
      <c r="B39" s="102" t="s">
        <v>584</v>
      </c>
      <c r="C39" s="27">
        <v>0</v>
      </c>
      <c r="D39" s="27">
        <v>0</v>
      </c>
      <c r="E39" s="27">
        <v>0</v>
      </c>
      <c r="F39" s="27">
        <v>0</v>
      </c>
      <c r="G39" s="27">
        <v>0</v>
      </c>
      <c r="H39" s="27">
        <v>0</v>
      </c>
      <c r="I39" s="27">
        <v>0</v>
      </c>
      <c r="J39" s="27">
        <v>0</v>
      </c>
      <c r="K39" s="27">
        <v>0</v>
      </c>
      <c r="L39" s="27">
        <v>0</v>
      </c>
      <c r="M39" s="27">
        <v>0</v>
      </c>
      <c r="N39" s="27">
        <v>0.8</v>
      </c>
      <c r="O39" s="27">
        <v>1.3</v>
      </c>
      <c r="P39" s="27">
        <v>-1.2</v>
      </c>
      <c r="Q39" s="27">
        <v>2.5</v>
      </c>
      <c r="R39" s="27">
        <v>6.6</v>
      </c>
      <c r="S39" s="27">
        <v>1.7</v>
      </c>
      <c r="T39" s="27">
        <v>18.2</v>
      </c>
      <c r="U39" s="27">
        <v>32.6</v>
      </c>
      <c r="V39" s="27">
        <v>3.5</v>
      </c>
      <c r="W39" s="27">
        <v>-5</v>
      </c>
      <c r="X39" s="27">
        <v>-4.7</v>
      </c>
      <c r="Y39" s="27">
        <v>2.4</v>
      </c>
      <c r="Z39" s="27">
        <v>-0.6</v>
      </c>
      <c r="AA39" s="27">
        <v>3.2</v>
      </c>
      <c r="AB39" s="366">
        <v>2.4</v>
      </c>
    </row>
    <row r="40" spans="1:28" x14ac:dyDescent="0.35">
      <c r="A40" s="102" t="s">
        <v>585</v>
      </c>
      <c r="B40" s="102" t="s">
        <v>586</v>
      </c>
      <c r="C40" s="27">
        <v>0</v>
      </c>
      <c r="D40" s="27">
        <v>0</v>
      </c>
      <c r="E40" s="27">
        <v>0</v>
      </c>
      <c r="F40" s="27">
        <v>-0.3</v>
      </c>
      <c r="G40" s="27">
        <v>1.7</v>
      </c>
      <c r="H40" s="27">
        <v>-0.3</v>
      </c>
      <c r="I40" s="27">
        <v>4.7</v>
      </c>
      <c r="J40" s="27">
        <v>-4.8</v>
      </c>
      <c r="K40" s="27">
        <v>4.0999999999999996</v>
      </c>
      <c r="L40" s="27">
        <v>4.9000000000000004</v>
      </c>
      <c r="M40" s="27">
        <v>11.5</v>
      </c>
      <c r="N40" s="27">
        <v>2.2999999999999998</v>
      </c>
      <c r="O40" s="27">
        <v>-0.2</v>
      </c>
      <c r="P40" s="27">
        <v>-0.5</v>
      </c>
      <c r="Q40" s="27">
        <v>-0.1</v>
      </c>
      <c r="R40" s="27">
        <v>-0.1</v>
      </c>
      <c r="S40" s="27">
        <v>2.2000000000000002</v>
      </c>
      <c r="T40" s="27">
        <v>2.7</v>
      </c>
      <c r="U40" s="27">
        <v>7.3</v>
      </c>
      <c r="V40" s="27">
        <v>-1.9</v>
      </c>
      <c r="W40" s="27">
        <v>-3.9</v>
      </c>
      <c r="X40" s="27">
        <v>-0.7</v>
      </c>
      <c r="Y40" s="27">
        <v>1</v>
      </c>
      <c r="Z40" s="27">
        <v>-1.4</v>
      </c>
      <c r="AA40" s="27">
        <v>0.7</v>
      </c>
      <c r="AB40" s="366">
        <v>-0.2</v>
      </c>
    </row>
    <row r="41" spans="1:28" ht="15" customHeight="1" x14ac:dyDescent="0.35">
      <c r="A41" s="102" t="s">
        <v>587</v>
      </c>
      <c r="B41" s="102" t="s">
        <v>588</v>
      </c>
      <c r="C41" s="27">
        <v>0</v>
      </c>
      <c r="D41" s="27">
        <v>0</v>
      </c>
      <c r="E41" s="27">
        <v>0</v>
      </c>
      <c r="F41" s="27">
        <v>0</v>
      </c>
      <c r="G41" s="27">
        <v>0</v>
      </c>
      <c r="H41" s="27">
        <v>0</v>
      </c>
      <c r="I41" s="27">
        <v>0</v>
      </c>
      <c r="J41" s="27">
        <v>0</v>
      </c>
      <c r="K41" s="27">
        <v>0</v>
      </c>
      <c r="L41" s="27">
        <v>0</v>
      </c>
      <c r="M41" s="27">
        <v>0</v>
      </c>
      <c r="N41" s="27">
        <v>0</v>
      </c>
      <c r="O41" s="27">
        <v>0</v>
      </c>
      <c r="P41" s="27">
        <v>0.1</v>
      </c>
      <c r="Q41" s="27">
        <v>0</v>
      </c>
      <c r="R41" s="27">
        <v>0</v>
      </c>
      <c r="S41" s="27">
        <v>0</v>
      </c>
      <c r="T41" s="27">
        <v>0</v>
      </c>
      <c r="U41" s="27">
        <v>-0.1</v>
      </c>
      <c r="V41" s="27">
        <v>-0.2</v>
      </c>
      <c r="W41" s="27">
        <v>0</v>
      </c>
      <c r="X41" s="27">
        <v>-0.1</v>
      </c>
      <c r="Y41" s="27">
        <v>-0.2</v>
      </c>
      <c r="Z41" s="27">
        <v>-0.2</v>
      </c>
      <c r="AA41" s="27">
        <v>-0.1</v>
      </c>
      <c r="AB41" s="366">
        <v>-0.1</v>
      </c>
    </row>
    <row r="42" spans="1:28" ht="15" customHeight="1" x14ac:dyDescent="0.35">
      <c r="A42" s="102" t="s">
        <v>589</v>
      </c>
      <c r="B42" s="102" t="s">
        <v>590</v>
      </c>
      <c r="C42" s="27">
        <v>-0.1</v>
      </c>
      <c r="D42" s="27">
        <v>-0.1</v>
      </c>
      <c r="E42" s="27">
        <v>-0.1</v>
      </c>
      <c r="F42" s="27">
        <v>-0.1</v>
      </c>
      <c r="G42" s="27">
        <v>0</v>
      </c>
      <c r="H42" s="27">
        <v>0</v>
      </c>
      <c r="I42" s="27">
        <v>0</v>
      </c>
      <c r="J42" s="27">
        <v>0</v>
      </c>
      <c r="K42" s="27">
        <v>0</v>
      </c>
      <c r="L42" s="27">
        <v>0</v>
      </c>
      <c r="M42" s="27">
        <v>0</v>
      </c>
      <c r="N42" s="27">
        <v>0</v>
      </c>
      <c r="O42" s="27">
        <v>0</v>
      </c>
      <c r="P42" s="27">
        <v>0</v>
      </c>
      <c r="Q42" s="27">
        <v>-0.1</v>
      </c>
      <c r="R42" s="27">
        <v>0.6</v>
      </c>
      <c r="S42" s="27">
        <v>5.2</v>
      </c>
      <c r="T42" s="27">
        <v>-19.100000000000001</v>
      </c>
      <c r="U42" s="27">
        <v>-7.3</v>
      </c>
      <c r="V42" s="27">
        <v>0</v>
      </c>
      <c r="W42" s="27">
        <v>8.9</v>
      </c>
      <c r="X42" s="27">
        <v>5.6</v>
      </c>
      <c r="Y42" s="27">
        <v>-1.9</v>
      </c>
      <c r="Z42" s="27">
        <v>-0.6</v>
      </c>
      <c r="AA42" s="27">
        <v>-0.5</v>
      </c>
      <c r="AB42" s="366">
        <v>-0.9</v>
      </c>
    </row>
    <row r="43" spans="1:28" ht="15" customHeight="1" x14ac:dyDescent="0.35">
      <c r="A43" s="102" t="s">
        <v>591</v>
      </c>
      <c r="B43" s="102" t="s">
        <v>592</v>
      </c>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27">
        <v>-0.7</v>
      </c>
      <c r="AA43" s="27">
        <v>0.2</v>
      </c>
      <c r="AB43" s="366">
        <v>0.5</v>
      </c>
    </row>
    <row r="44" spans="1:28" ht="15" customHeight="1" x14ac:dyDescent="0.35">
      <c r="A44" s="102" t="s">
        <v>623</v>
      </c>
      <c r="B44" s="102" t="s">
        <v>624</v>
      </c>
      <c r="C44" s="27">
        <v>0</v>
      </c>
      <c r="D44" s="27">
        <v>0</v>
      </c>
      <c r="E44" s="27">
        <v>0</v>
      </c>
      <c r="F44" s="27">
        <v>0</v>
      </c>
      <c r="G44" s="27">
        <v>0</v>
      </c>
      <c r="H44" s="27">
        <v>0</v>
      </c>
      <c r="I44" s="27">
        <v>-0.5</v>
      </c>
      <c r="J44" s="27">
        <v>-1.8</v>
      </c>
      <c r="K44" s="27">
        <v>-0.5</v>
      </c>
      <c r="L44" s="27">
        <v>-0.9</v>
      </c>
      <c r="M44" s="27">
        <v>-1.3</v>
      </c>
      <c r="N44" s="27">
        <v>-1.7</v>
      </c>
      <c r="O44" s="27">
        <v>-0.4</v>
      </c>
      <c r="P44" s="27">
        <v>-0.9</v>
      </c>
      <c r="Q44" s="27">
        <v>-1.3</v>
      </c>
      <c r="R44" s="27">
        <v>-1.8</v>
      </c>
      <c r="S44" s="27">
        <v>-0.5</v>
      </c>
      <c r="T44" s="27">
        <v>-0.9</v>
      </c>
      <c r="U44" s="27">
        <v>-1.5</v>
      </c>
      <c r="V44" s="27">
        <v>-2</v>
      </c>
      <c r="W44" s="27">
        <v>-0.5</v>
      </c>
      <c r="X44" s="27">
        <v>-1</v>
      </c>
      <c r="Y44" s="27">
        <v>-1.5</v>
      </c>
      <c r="Z44" s="27">
        <v>-2.1</v>
      </c>
      <c r="AA44" s="27">
        <v>-0.6</v>
      </c>
      <c r="AB44" s="366">
        <v>-1.3</v>
      </c>
    </row>
    <row r="45" spans="1:28" ht="15" customHeight="1" x14ac:dyDescent="0.35">
      <c r="A45" s="102" t="s">
        <v>595</v>
      </c>
      <c r="B45" s="102" t="s">
        <v>596</v>
      </c>
      <c r="C45" s="27">
        <v>0</v>
      </c>
      <c r="D45" s="27">
        <v>0</v>
      </c>
      <c r="E45" s="27">
        <v>0</v>
      </c>
      <c r="F45" s="27">
        <v>0</v>
      </c>
      <c r="G45" s="27">
        <v>0</v>
      </c>
      <c r="H45" s="27">
        <v>0</v>
      </c>
      <c r="I45" s="27">
        <v>0</v>
      </c>
      <c r="J45" s="27">
        <v>-0.3</v>
      </c>
      <c r="K45" s="27">
        <v>-0.2</v>
      </c>
      <c r="L45" s="27">
        <v>-0.2</v>
      </c>
      <c r="M45" s="27">
        <v>-0.2</v>
      </c>
      <c r="N45" s="27">
        <v>-0.1</v>
      </c>
      <c r="O45" s="27">
        <v>-0.2</v>
      </c>
      <c r="P45" s="27">
        <v>-0.1</v>
      </c>
      <c r="Q45" s="27">
        <v>-0.2</v>
      </c>
      <c r="R45" s="27">
        <v>-0.3</v>
      </c>
      <c r="S45" s="27">
        <v>0.1</v>
      </c>
      <c r="T45" s="27">
        <v>-0.5</v>
      </c>
      <c r="U45" s="27">
        <v>-0.7</v>
      </c>
      <c r="V45" s="27">
        <v>-0.2</v>
      </c>
      <c r="W45" s="27">
        <v>0.2</v>
      </c>
      <c r="X45" s="27">
        <v>0.4</v>
      </c>
      <c r="Y45" s="27">
        <v>0.3</v>
      </c>
      <c r="Z45" s="27">
        <v>0.3</v>
      </c>
      <c r="AA45" s="27">
        <v>-0.2</v>
      </c>
      <c r="AB45" s="366">
        <v>-0.3</v>
      </c>
    </row>
    <row r="46" spans="1:28" ht="15" customHeight="1" x14ac:dyDescent="0.35">
      <c r="A46" s="102" t="s">
        <v>371</v>
      </c>
      <c r="B46" s="102" t="s">
        <v>372</v>
      </c>
      <c r="C46" s="27">
        <v>-0.2</v>
      </c>
      <c r="D46" s="27">
        <v>0</v>
      </c>
      <c r="E46" s="27">
        <v>0</v>
      </c>
      <c r="F46" s="27">
        <v>0</v>
      </c>
      <c r="G46" s="27">
        <v>0</v>
      </c>
      <c r="H46" s="27">
        <v>0</v>
      </c>
      <c r="I46" s="27">
        <v>0</v>
      </c>
      <c r="J46" s="27">
        <v>0</v>
      </c>
      <c r="K46" s="27">
        <v>0</v>
      </c>
      <c r="L46" s="27">
        <v>0</v>
      </c>
      <c r="M46" s="27">
        <v>0</v>
      </c>
      <c r="N46" s="27">
        <v>0</v>
      </c>
      <c r="O46" s="27">
        <v>0</v>
      </c>
      <c r="P46" s="27">
        <v>0</v>
      </c>
      <c r="Q46" s="27">
        <v>0</v>
      </c>
      <c r="R46" s="27">
        <v>0</v>
      </c>
      <c r="S46" s="27">
        <v>0</v>
      </c>
      <c r="T46" s="27">
        <v>0</v>
      </c>
      <c r="U46" s="27">
        <v>0</v>
      </c>
      <c r="V46" s="27">
        <v>0</v>
      </c>
      <c r="W46" s="27">
        <v>0</v>
      </c>
      <c r="X46" s="27">
        <v>0</v>
      </c>
      <c r="Y46" s="27">
        <v>0</v>
      </c>
      <c r="Z46" s="27">
        <v>0</v>
      </c>
      <c r="AA46" s="27">
        <v>0</v>
      </c>
      <c r="AB46" s="366">
        <v>0</v>
      </c>
    </row>
    <row r="47" spans="1:28" ht="15" customHeight="1" x14ac:dyDescent="0.35">
      <c r="A47" s="102" t="s">
        <v>597</v>
      </c>
      <c r="B47" s="102" t="s">
        <v>598</v>
      </c>
      <c r="C47" s="27">
        <v>-5.5</v>
      </c>
      <c r="D47" s="27">
        <v>0.8</v>
      </c>
      <c r="E47" s="27">
        <v>-4.9000000000000004</v>
      </c>
      <c r="F47" s="27">
        <v>0</v>
      </c>
      <c r="G47" s="27">
        <v>0</v>
      </c>
      <c r="H47" s="27">
        <v>0</v>
      </c>
      <c r="I47" s="27">
        <v>0</v>
      </c>
      <c r="J47" s="27">
        <v>0</v>
      </c>
      <c r="K47" s="27">
        <v>0</v>
      </c>
      <c r="L47" s="27">
        <v>0</v>
      </c>
      <c r="M47" s="27">
        <v>0</v>
      </c>
      <c r="N47" s="27">
        <v>0</v>
      </c>
      <c r="O47" s="27">
        <v>0</v>
      </c>
      <c r="P47" s="27">
        <v>0</v>
      </c>
      <c r="Q47" s="27">
        <v>0</v>
      </c>
      <c r="R47" s="27">
        <v>0</v>
      </c>
      <c r="S47" s="27">
        <v>0</v>
      </c>
      <c r="T47" s="27">
        <v>0</v>
      </c>
      <c r="U47" s="27">
        <v>0</v>
      </c>
      <c r="V47" s="27">
        <v>0</v>
      </c>
      <c r="W47" s="27">
        <v>0</v>
      </c>
      <c r="X47" s="27">
        <v>0</v>
      </c>
      <c r="Y47" s="27">
        <v>0</v>
      </c>
      <c r="Z47" s="27">
        <v>0</v>
      </c>
      <c r="AA47" s="27">
        <v>0</v>
      </c>
      <c r="AB47" s="366">
        <v>0</v>
      </c>
    </row>
    <row r="48" spans="1:28" ht="15" customHeight="1" x14ac:dyDescent="0.35">
      <c r="A48" s="102" t="s">
        <v>599</v>
      </c>
      <c r="B48" s="102" t="s">
        <v>600</v>
      </c>
      <c r="C48" s="27">
        <v>0</v>
      </c>
      <c r="D48" s="27">
        <v>0</v>
      </c>
      <c r="E48" s="27">
        <v>0</v>
      </c>
      <c r="F48" s="27">
        <v>0</v>
      </c>
      <c r="G48" s="27">
        <v>0</v>
      </c>
      <c r="H48" s="27">
        <v>0</v>
      </c>
      <c r="I48" s="27">
        <v>0</v>
      </c>
      <c r="J48" s="27">
        <v>0</v>
      </c>
      <c r="K48" s="27">
        <v>0</v>
      </c>
      <c r="L48" s="27">
        <v>0</v>
      </c>
      <c r="M48" s="27">
        <v>0</v>
      </c>
      <c r="N48" s="27">
        <v>2</v>
      </c>
      <c r="O48" s="27">
        <v>2.1</v>
      </c>
      <c r="P48" s="27">
        <v>1.8</v>
      </c>
      <c r="Q48" s="27">
        <v>3.6</v>
      </c>
      <c r="R48" s="27">
        <v>-4.2</v>
      </c>
      <c r="S48" s="27">
        <v>-1.8</v>
      </c>
      <c r="T48" s="27">
        <v>-12.6</v>
      </c>
      <c r="U48" s="27">
        <v>-15.2</v>
      </c>
      <c r="V48" s="27">
        <v>-11.2</v>
      </c>
      <c r="W48" s="27">
        <v>0.3</v>
      </c>
      <c r="X48" s="27">
        <v>2.2000000000000002</v>
      </c>
      <c r="Y48" s="27">
        <v>-8.8000000000000007</v>
      </c>
      <c r="Z48" s="27">
        <v>-10.3</v>
      </c>
      <c r="AA48" s="27">
        <v>2</v>
      </c>
      <c r="AB48" s="366">
        <v>4.7</v>
      </c>
    </row>
    <row r="49" spans="1:28" x14ac:dyDescent="0.35">
      <c r="A49" s="102" t="s">
        <v>601</v>
      </c>
      <c r="B49" s="102" t="s">
        <v>602</v>
      </c>
      <c r="C49" s="27">
        <v>0</v>
      </c>
      <c r="D49" s="27">
        <v>0</v>
      </c>
      <c r="E49" s="27">
        <v>0</v>
      </c>
      <c r="F49" s="27">
        <v>0</v>
      </c>
      <c r="G49" s="27">
        <v>0</v>
      </c>
      <c r="H49" s="27">
        <v>0</v>
      </c>
      <c r="I49" s="27">
        <v>0</v>
      </c>
      <c r="J49" s="27">
        <v>0</v>
      </c>
      <c r="K49" s="27">
        <v>0</v>
      </c>
      <c r="L49" s="27">
        <v>0</v>
      </c>
      <c r="M49" s="27">
        <v>0</v>
      </c>
      <c r="N49" s="27">
        <v>-9.1</v>
      </c>
      <c r="O49" s="27">
        <v>0</v>
      </c>
      <c r="P49" s="27">
        <v>0</v>
      </c>
      <c r="Q49" s="27">
        <v>-2.1</v>
      </c>
      <c r="R49" s="27">
        <v>-2.1</v>
      </c>
      <c r="S49" s="27">
        <v>0</v>
      </c>
      <c r="T49" s="27">
        <v>0</v>
      </c>
      <c r="U49" s="27" t="s">
        <v>178</v>
      </c>
      <c r="V49" s="27">
        <v>0</v>
      </c>
      <c r="W49" s="27">
        <v>0</v>
      </c>
      <c r="X49" s="27">
        <v>0</v>
      </c>
      <c r="Y49" s="27">
        <v>-0.1</v>
      </c>
      <c r="Z49" s="27">
        <v>-4.3</v>
      </c>
      <c r="AA49" s="27">
        <v>0</v>
      </c>
      <c r="AB49" s="366">
        <v>0</v>
      </c>
    </row>
    <row r="50" spans="1:28" x14ac:dyDescent="0.35">
      <c r="A50" s="102" t="s">
        <v>381</v>
      </c>
      <c r="B50" s="102" t="s">
        <v>382</v>
      </c>
      <c r="C50" s="27">
        <v>0</v>
      </c>
      <c r="D50" s="27">
        <v>0</v>
      </c>
      <c r="E50" s="27">
        <v>0</v>
      </c>
      <c r="F50" s="27">
        <v>0</v>
      </c>
      <c r="G50" s="27">
        <v>0</v>
      </c>
      <c r="H50" s="27">
        <v>0</v>
      </c>
      <c r="I50" s="27">
        <v>0</v>
      </c>
      <c r="J50" s="27">
        <v>0</v>
      </c>
      <c r="K50" s="27">
        <v>0</v>
      </c>
      <c r="L50" s="27">
        <v>0</v>
      </c>
      <c r="M50" s="27">
        <v>0</v>
      </c>
      <c r="N50" s="27">
        <v>0</v>
      </c>
      <c r="O50" s="27">
        <v>0</v>
      </c>
      <c r="P50" s="27">
        <v>0</v>
      </c>
      <c r="Q50" s="27">
        <v>0</v>
      </c>
      <c r="R50" s="27">
        <v>0</v>
      </c>
      <c r="S50" s="27">
        <v>0</v>
      </c>
      <c r="T50" s="27">
        <v>-1.9</v>
      </c>
      <c r="U50" s="27">
        <v>-1.9</v>
      </c>
      <c r="V50" s="27">
        <v>-0.8</v>
      </c>
      <c r="W50" s="27">
        <v>0.2</v>
      </c>
      <c r="X50" s="27">
        <v>-0.6</v>
      </c>
      <c r="Y50" s="27">
        <v>-0.6</v>
      </c>
      <c r="Z50" s="27">
        <v>-6.2</v>
      </c>
      <c r="AA50" s="27">
        <v>0</v>
      </c>
      <c r="AB50" s="366" t="s">
        <v>1176</v>
      </c>
    </row>
    <row r="51" spans="1:28" s="31" customFormat="1" x14ac:dyDescent="0.35">
      <c r="A51" s="111" t="s">
        <v>603</v>
      </c>
      <c r="B51" s="111" t="s">
        <v>604</v>
      </c>
      <c r="C51" s="153">
        <v>-0.6</v>
      </c>
      <c r="D51" s="153">
        <v>0.7</v>
      </c>
      <c r="E51" s="153">
        <v>7.8</v>
      </c>
      <c r="F51" s="153">
        <v>-0.1</v>
      </c>
      <c r="G51" s="153">
        <v>3.3</v>
      </c>
      <c r="H51" s="153">
        <v>15.1</v>
      </c>
      <c r="I51" s="153">
        <v>27.1</v>
      </c>
      <c r="J51" s="153">
        <v>33.9</v>
      </c>
      <c r="K51" s="153">
        <v>8.6</v>
      </c>
      <c r="L51" s="153">
        <v>16.3</v>
      </c>
      <c r="M51" s="153">
        <v>5</v>
      </c>
      <c r="N51" s="153">
        <v>4.9000000000000004</v>
      </c>
      <c r="O51" s="153">
        <v>-2.8</v>
      </c>
      <c r="P51" s="153">
        <v>-9.8000000000000007</v>
      </c>
      <c r="Q51" s="153">
        <v>-7.5</v>
      </c>
      <c r="R51" s="153">
        <v>9</v>
      </c>
      <c r="S51" s="153">
        <v>-7.8</v>
      </c>
      <c r="T51" s="153">
        <v>26</v>
      </c>
      <c r="U51" s="153">
        <v>64.5</v>
      </c>
      <c r="V51" s="153">
        <v>60.6</v>
      </c>
      <c r="W51" s="153">
        <v>-10.3</v>
      </c>
      <c r="X51" s="153">
        <v>-2.2000000000000002</v>
      </c>
      <c r="Y51" s="153">
        <v>-4.8</v>
      </c>
      <c r="Z51" s="153">
        <v>-30.9</v>
      </c>
      <c r="AA51" s="153">
        <f>SUM(AA52:AA61)</f>
        <v>5.8</v>
      </c>
      <c r="AB51" s="365">
        <f>SUM(AB52:AB61)</f>
        <v>7.8000000000000007</v>
      </c>
    </row>
    <row r="52" spans="1:28" ht="15" customHeight="1" x14ac:dyDescent="0.35">
      <c r="A52" s="102" t="s">
        <v>605</v>
      </c>
      <c r="B52" s="102" t="s">
        <v>606</v>
      </c>
      <c r="C52" s="27">
        <v>0</v>
      </c>
      <c r="D52" s="27">
        <v>0</v>
      </c>
      <c r="E52" s="27">
        <v>0</v>
      </c>
      <c r="F52" s="27">
        <v>0</v>
      </c>
      <c r="G52" s="27">
        <v>0</v>
      </c>
      <c r="H52" s="27">
        <v>0</v>
      </c>
      <c r="I52" s="27">
        <v>0</v>
      </c>
      <c r="J52" s="27">
        <v>0</v>
      </c>
      <c r="K52" s="27">
        <v>0</v>
      </c>
      <c r="L52" s="27">
        <v>0</v>
      </c>
      <c r="M52" s="27">
        <v>0</v>
      </c>
      <c r="N52" s="27">
        <v>0</v>
      </c>
      <c r="O52" s="27">
        <v>0</v>
      </c>
      <c r="P52" s="27">
        <v>0</v>
      </c>
      <c r="Q52" s="27">
        <v>0</v>
      </c>
      <c r="R52" s="27">
        <v>0</v>
      </c>
      <c r="S52" s="27">
        <v>2.9</v>
      </c>
      <c r="T52" s="27">
        <v>-1.9</v>
      </c>
      <c r="U52" s="27">
        <v>-12.3</v>
      </c>
      <c r="V52" s="27">
        <v>-16.2</v>
      </c>
      <c r="W52" s="27">
        <v>0.4</v>
      </c>
      <c r="X52" s="27">
        <v>11</v>
      </c>
      <c r="Y52" s="27">
        <v>15.8</v>
      </c>
      <c r="Z52" s="27">
        <v>17.100000000000001</v>
      </c>
      <c r="AA52" s="372">
        <v>-1.3</v>
      </c>
      <c r="AB52" s="366" t="s">
        <v>1176</v>
      </c>
    </row>
    <row r="53" spans="1:28" ht="15" customHeight="1" x14ac:dyDescent="0.35">
      <c r="A53" s="102" t="s">
        <v>607</v>
      </c>
      <c r="B53" s="102" t="s">
        <v>608</v>
      </c>
      <c r="C53" s="27">
        <v>-1.1000000000000001</v>
      </c>
      <c r="D53" s="27">
        <v>-2.1</v>
      </c>
      <c r="E53" s="27">
        <v>-0.1</v>
      </c>
      <c r="F53" s="27">
        <v>1</v>
      </c>
      <c r="G53" s="27">
        <v>2.5</v>
      </c>
      <c r="H53" s="27">
        <v>12</v>
      </c>
      <c r="I53" s="27">
        <v>20.7</v>
      </c>
      <c r="J53" s="27">
        <v>27.6</v>
      </c>
      <c r="K53" s="27">
        <v>6.9</v>
      </c>
      <c r="L53" s="27">
        <v>13.7</v>
      </c>
      <c r="M53" s="27">
        <v>4</v>
      </c>
      <c r="N53" s="27">
        <v>-0.9</v>
      </c>
      <c r="O53" s="27">
        <v>0.3</v>
      </c>
      <c r="P53" s="27">
        <v>-4.5</v>
      </c>
      <c r="Q53" s="27">
        <v>-3.6</v>
      </c>
      <c r="R53" s="27">
        <v>6.3</v>
      </c>
      <c r="S53" s="27">
        <v>-11.4</v>
      </c>
      <c r="T53" s="27">
        <v>18.600000000000001</v>
      </c>
      <c r="U53" s="27">
        <v>63.7</v>
      </c>
      <c r="V53" s="27">
        <v>62.6</v>
      </c>
      <c r="W53" s="27">
        <v>-19.3</v>
      </c>
      <c r="X53" s="27">
        <v>-50.8</v>
      </c>
      <c r="Y53" s="27">
        <v>-64.3</v>
      </c>
      <c r="Z53" s="27">
        <v>-102.2</v>
      </c>
      <c r="AA53" s="27">
        <v>2.4</v>
      </c>
      <c r="AB53" s="366">
        <v>1.8</v>
      </c>
    </row>
    <row r="54" spans="1:28" ht="15" customHeight="1" x14ac:dyDescent="0.35">
      <c r="A54" s="102" t="s">
        <v>609</v>
      </c>
      <c r="B54" s="102" t="s">
        <v>610</v>
      </c>
      <c r="C54" s="27">
        <v>0.2</v>
      </c>
      <c r="D54" s="27">
        <v>2.4</v>
      </c>
      <c r="E54" s="27">
        <v>2.7</v>
      </c>
      <c r="F54" s="27">
        <v>4.0999999999999996</v>
      </c>
      <c r="G54" s="27">
        <v>0</v>
      </c>
      <c r="H54" s="27">
        <v>2</v>
      </c>
      <c r="I54" s="27">
        <v>4.3</v>
      </c>
      <c r="J54" s="27">
        <v>3.9</v>
      </c>
      <c r="K54" s="27">
        <v>1.8</v>
      </c>
      <c r="L54" s="27">
        <v>1.1000000000000001</v>
      </c>
      <c r="M54" s="27">
        <v>0</v>
      </c>
      <c r="N54" s="27">
        <v>3.4</v>
      </c>
      <c r="O54" s="27">
        <v>-4</v>
      </c>
      <c r="P54" s="27">
        <v>-6.8</v>
      </c>
      <c r="Q54" s="27">
        <v>-7</v>
      </c>
      <c r="R54" s="27">
        <v>-5.5</v>
      </c>
      <c r="S54" s="27">
        <v>-0.1</v>
      </c>
      <c r="T54" s="27">
        <v>5.9</v>
      </c>
      <c r="U54" s="27">
        <v>8.3000000000000007</v>
      </c>
      <c r="V54" s="27">
        <v>4.0999999999999996</v>
      </c>
      <c r="W54" s="27">
        <v>-2.7</v>
      </c>
      <c r="X54" s="27">
        <v>-7</v>
      </c>
      <c r="Y54" s="27">
        <v>-5.6</v>
      </c>
      <c r="Z54" s="27">
        <v>-6.3</v>
      </c>
      <c r="AA54" s="27">
        <v>2.9</v>
      </c>
      <c r="AB54" s="366">
        <v>1.3</v>
      </c>
    </row>
    <row r="55" spans="1:28" ht="15" customHeight="1" x14ac:dyDescent="0.35">
      <c r="A55" s="102" t="s">
        <v>611</v>
      </c>
      <c r="B55" s="102" t="s">
        <v>424</v>
      </c>
      <c r="C55" s="27">
        <v>0</v>
      </c>
      <c r="D55" s="27">
        <v>0</v>
      </c>
      <c r="E55" s="27">
        <v>0</v>
      </c>
      <c r="F55" s="27">
        <v>0</v>
      </c>
      <c r="G55" s="27">
        <v>0</v>
      </c>
      <c r="H55" s="27">
        <v>0</v>
      </c>
      <c r="I55" s="27">
        <v>0</v>
      </c>
      <c r="J55" s="27">
        <v>0</v>
      </c>
      <c r="K55" s="27">
        <v>0</v>
      </c>
      <c r="L55" s="27">
        <v>0</v>
      </c>
      <c r="M55" s="27">
        <v>0</v>
      </c>
      <c r="N55" s="27">
        <v>0</v>
      </c>
      <c r="O55" s="27">
        <v>0</v>
      </c>
      <c r="P55" s="27">
        <v>0</v>
      </c>
      <c r="Q55" s="27">
        <v>0</v>
      </c>
      <c r="R55" s="27">
        <v>0</v>
      </c>
      <c r="S55" s="27">
        <v>0</v>
      </c>
      <c r="T55" s="27">
        <v>0</v>
      </c>
      <c r="U55" s="27">
        <v>0.1</v>
      </c>
      <c r="V55" s="27">
        <v>0.1</v>
      </c>
      <c r="W55" s="27">
        <v>0</v>
      </c>
      <c r="X55" s="27">
        <v>0</v>
      </c>
      <c r="Y55" s="89">
        <v>0</v>
      </c>
      <c r="Z55" s="89">
        <v>0.1</v>
      </c>
      <c r="AA55" s="27">
        <v>0</v>
      </c>
      <c r="AB55" s="366">
        <v>0</v>
      </c>
    </row>
    <row r="56" spans="1:28" ht="15" customHeight="1" x14ac:dyDescent="0.35">
      <c r="A56" s="102" t="s">
        <v>612</v>
      </c>
      <c r="B56" s="102" t="s">
        <v>422</v>
      </c>
      <c r="C56" s="27">
        <v>0.9</v>
      </c>
      <c r="D56" s="27">
        <v>4</v>
      </c>
      <c r="E56" s="27">
        <v>6.8</v>
      </c>
      <c r="F56" s="27">
        <v>4.2</v>
      </c>
      <c r="G56" s="27">
        <v>0.8</v>
      </c>
      <c r="H56" s="27">
        <v>1.4</v>
      </c>
      <c r="I56" s="27">
        <v>2.5</v>
      </c>
      <c r="J56" s="27">
        <v>2.8</v>
      </c>
      <c r="K56" s="27">
        <v>0.7</v>
      </c>
      <c r="L56" s="27">
        <v>1.5</v>
      </c>
      <c r="M56" s="27">
        <v>2.2000000000000002</v>
      </c>
      <c r="N56" s="27">
        <v>2.6</v>
      </c>
      <c r="O56" s="27">
        <v>0.3</v>
      </c>
      <c r="P56" s="27">
        <v>1.1000000000000001</v>
      </c>
      <c r="Q56" s="27">
        <v>2.6</v>
      </c>
      <c r="R56" s="27">
        <v>8.1999999999999993</v>
      </c>
      <c r="S56" s="27">
        <v>1.8</v>
      </c>
      <c r="T56" s="27">
        <v>16.600000000000001</v>
      </c>
      <c r="U56" s="27">
        <v>20.100000000000001</v>
      </c>
      <c r="V56" s="27">
        <v>34.1</v>
      </c>
      <c r="W56" s="27">
        <v>7.2</v>
      </c>
      <c r="X56" s="27">
        <v>34.200000000000003</v>
      </c>
      <c r="Y56" s="27">
        <v>41.1</v>
      </c>
      <c r="Z56" s="27">
        <v>65</v>
      </c>
      <c r="AA56" s="27">
        <v>5.6</v>
      </c>
      <c r="AB56" s="366">
        <v>25.9</v>
      </c>
    </row>
    <row r="57" spans="1:28" ht="15" customHeight="1" x14ac:dyDescent="0.35">
      <c r="A57" s="102" t="s">
        <v>613</v>
      </c>
      <c r="B57" s="102" t="s">
        <v>614</v>
      </c>
      <c r="C57" s="27">
        <v>0</v>
      </c>
      <c r="D57" s="27">
        <v>0</v>
      </c>
      <c r="E57" s="27">
        <v>0</v>
      </c>
      <c r="F57" s="27">
        <v>0</v>
      </c>
      <c r="G57" s="27">
        <v>0</v>
      </c>
      <c r="H57" s="27">
        <v>0</v>
      </c>
      <c r="I57" s="27">
        <v>0</v>
      </c>
      <c r="J57" s="27">
        <v>0</v>
      </c>
      <c r="K57" s="27">
        <v>-0.1</v>
      </c>
      <c r="L57" s="27">
        <v>-0.1</v>
      </c>
      <c r="M57" s="27">
        <v>-0.1</v>
      </c>
      <c r="N57" s="27">
        <v>-0.1</v>
      </c>
      <c r="O57" s="27">
        <v>0</v>
      </c>
      <c r="P57" s="27">
        <v>0</v>
      </c>
      <c r="Q57" s="27">
        <v>0</v>
      </c>
      <c r="R57" s="27">
        <v>-0.1</v>
      </c>
      <c r="S57" s="27">
        <v>0</v>
      </c>
      <c r="T57" s="27">
        <v>-12.1</v>
      </c>
      <c r="U57" s="27">
        <v>-12</v>
      </c>
      <c r="V57" s="27">
        <v>-18.399999999999999</v>
      </c>
      <c r="W57" s="27">
        <v>-0.3</v>
      </c>
      <c r="X57" s="27">
        <v>-22.6</v>
      </c>
      <c r="Y57" s="27">
        <v>-23.3</v>
      </c>
      <c r="Z57" s="27">
        <v>-38</v>
      </c>
      <c r="AA57" s="27">
        <v>-1.2</v>
      </c>
      <c r="AB57" s="366">
        <v>-19.399999999999999</v>
      </c>
    </row>
    <row r="58" spans="1:28" ht="15" customHeight="1" x14ac:dyDescent="0.35">
      <c r="A58" s="102" t="s">
        <v>615</v>
      </c>
      <c r="B58" s="102" t="s">
        <v>616</v>
      </c>
      <c r="C58" s="27">
        <v>0</v>
      </c>
      <c r="D58" s="27">
        <v>0</v>
      </c>
      <c r="E58" s="27">
        <v>0</v>
      </c>
      <c r="F58" s="27">
        <v>0</v>
      </c>
      <c r="G58" s="27">
        <v>0</v>
      </c>
      <c r="H58" s="27">
        <v>0</v>
      </c>
      <c r="I58" s="27">
        <v>0</v>
      </c>
      <c r="J58" s="27">
        <v>0</v>
      </c>
      <c r="K58" s="27">
        <v>0</v>
      </c>
      <c r="L58" s="27">
        <v>0</v>
      </c>
      <c r="M58" s="27">
        <v>0</v>
      </c>
      <c r="N58" s="27">
        <v>0</v>
      </c>
      <c r="O58" s="27">
        <v>0</v>
      </c>
      <c r="P58" s="27">
        <v>0</v>
      </c>
      <c r="Q58" s="27">
        <v>0</v>
      </c>
      <c r="R58" s="27">
        <v>0</v>
      </c>
      <c r="S58" s="27">
        <v>0</v>
      </c>
      <c r="T58" s="27">
        <v>-2.1</v>
      </c>
      <c r="U58" s="27">
        <v>-4.3</v>
      </c>
      <c r="V58" s="27">
        <v>-0.2</v>
      </c>
      <c r="W58" s="27">
        <v>4</v>
      </c>
      <c r="X58" s="27">
        <v>6.2</v>
      </c>
      <c r="Y58" s="27">
        <v>5.4</v>
      </c>
      <c r="Z58" s="27">
        <v>9.1</v>
      </c>
      <c r="AA58" s="27">
        <v>-2.4</v>
      </c>
      <c r="AB58" s="366">
        <v>-0.3</v>
      </c>
    </row>
    <row r="59" spans="1:28" x14ac:dyDescent="0.35">
      <c r="A59" s="102" t="s">
        <v>617</v>
      </c>
      <c r="B59" s="102" t="s">
        <v>618</v>
      </c>
      <c r="C59" s="27">
        <v>0</v>
      </c>
      <c r="D59" s="27">
        <v>0</v>
      </c>
      <c r="E59" s="27">
        <v>0</v>
      </c>
      <c r="F59" s="27">
        <v>0</v>
      </c>
      <c r="G59" s="27">
        <v>0</v>
      </c>
      <c r="H59" s="27">
        <v>0</v>
      </c>
      <c r="I59" s="27">
        <v>0</v>
      </c>
      <c r="J59" s="27">
        <v>0</v>
      </c>
      <c r="K59" s="27">
        <v>0</v>
      </c>
      <c r="L59" s="27">
        <v>0</v>
      </c>
      <c r="M59" s="27">
        <v>0</v>
      </c>
      <c r="N59" s="27">
        <v>0</v>
      </c>
      <c r="O59" s="27">
        <v>0</v>
      </c>
      <c r="P59" s="27">
        <v>0</v>
      </c>
      <c r="Q59" s="27">
        <v>0</v>
      </c>
      <c r="R59" s="27">
        <v>0</v>
      </c>
      <c r="S59" s="27">
        <v>0</v>
      </c>
      <c r="T59" s="27">
        <v>0</v>
      </c>
      <c r="U59" s="27" t="s">
        <v>178</v>
      </c>
      <c r="V59" s="27">
        <v>-7.9</v>
      </c>
      <c r="W59" s="27">
        <v>0.2</v>
      </c>
      <c r="X59" s="27">
        <v>-5.0999999999999996</v>
      </c>
      <c r="Y59" s="27">
        <v>-5.0999999999999996</v>
      </c>
      <c r="Z59" s="27">
        <v>-5.0999999999999996</v>
      </c>
      <c r="AA59" s="27" t="s">
        <v>178</v>
      </c>
      <c r="AB59" s="366">
        <v>-0.6</v>
      </c>
    </row>
    <row r="60" spans="1:28" x14ac:dyDescent="0.35">
      <c r="A60" s="102" t="s">
        <v>391</v>
      </c>
      <c r="B60" s="102" t="s">
        <v>392</v>
      </c>
      <c r="C60" s="27">
        <v>0</v>
      </c>
      <c r="D60" s="27">
        <v>0</v>
      </c>
      <c r="E60" s="27">
        <v>0</v>
      </c>
      <c r="F60" s="27">
        <v>0</v>
      </c>
      <c r="G60" s="27">
        <v>0</v>
      </c>
      <c r="H60" s="27">
        <v>0</v>
      </c>
      <c r="I60" s="27">
        <v>0</v>
      </c>
      <c r="J60" s="27">
        <v>0</v>
      </c>
      <c r="K60" s="27">
        <v>0</v>
      </c>
      <c r="L60" s="27">
        <v>0</v>
      </c>
      <c r="M60" s="27">
        <v>0</v>
      </c>
      <c r="N60" s="27">
        <v>0</v>
      </c>
      <c r="O60" s="27">
        <v>0</v>
      </c>
      <c r="P60" s="27">
        <v>0</v>
      </c>
      <c r="Q60" s="27">
        <v>0</v>
      </c>
      <c r="R60" s="27">
        <v>0</v>
      </c>
      <c r="S60" s="27">
        <v>0</v>
      </c>
      <c r="T60" s="27">
        <v>0</v>
      </c>
      <c r="U60" s="27" t="s">
        <v>178</v>
      </c>
      <c r="V60" s="27">
        <v>0</v>
      </c>
      <c r="W60" s="27">
        <v>0</v>
      </c>
      <c r="X60" s="27">
        <v>31.5</v>
      </c>
      <c r="Y60" s="27">
        <v>31.4</v>
      </c>
      <c r="Z60" s="27">
        <v>29.9</v>
      </c>
      <c r="AA60" s="27">
        <v>0</v>
      </c>
      <c r="AB60" s="366" t="s">
        <v>1176</v>
      </c>
    </row>
    <row r="61" spans="1:28" x14ac:dyDescent="0.35">
      <c r="A61" s="102" t="s">
        <v>619</v>
      </c>
      <c r="B61" s="102" t="s">
        <v>620</v>
      </c>
      <c r="C61" s="27">
        <v>0.6</v>
      </c>
      <c r="D61" s="27">
        <v>-3.6</v>
      </c>
      <c r="E61" s="27">
        <v>-1.6</v>
      </c>
      <c r="F61" s="27">
        <v>-9.4</v>
      </c>
      <c r="G61" s="27">
        <v>0</v>
      </c>
      <c r="H61" s="27">
        <v>-0.3</v>
      </c>
      <c r="I61" s="27">
        <v>-0.4</v>
      </c>
      <c r="J61" s="27">
        <v>-0.4</v>
      </c>
      <c r="K61" s="27">
        <v>-0.7</v>
      </c>
      <c r="L61" s="27">
        <v>0.1</v>
      </c>
      <c r="M61" s="27">
        <v>-1.1000000000000001</v>
      </c>
      <c r="N61" s="27">
        <v>-0.1</v>
      </c>
      <c r="O61" s="27">
        <v>0.6</v>
      </c>
      <c r="P61" s="27">
        <v>0.4</v>
      </c>
      <c r="Q61" s="27">
        <v>0.5</v>
      </c>
      <c r="R61" s="27">
        <v>0.1</v>
      </c>
      <c r="S61" s="27">
        <v>-1</v>
      </c>
      <c r="T61" s="27">
        <v>1</v>
      </c>
      <c r="U61" s="27">
        <v>0.9</v>
      </c>
      <c r="V61" s="27">
        <v>2.4</v>
      </c>
      <c r="W61" s="27">
        <v>0.2</v>
      </c>
      <c r="X61" s="27">
        <v>0.4</v>
      </c>
      <c r="Y61" s="27">
        <v>-0.2</v>
      </c>
      <c r="Z61" s="27">
        <v>-0.5</v>
      </c>
      <c r="AA61" s="27">
        <v>-0.2</v>
      </c>
      <c r="AB61" s="366">
        <v>-0.9</v>
      </c>
    </row>
    <row r="66" spans="1:2" ht="116" x14ac:dyDescent="0.35">
      <c r="A66" s="199" t="s">
        <v>625</v>
      </c>
      <c r="B66" s="224" t="s">
        <v>626</v>
      </c>
    </row>
  </sheetData>
  <mergeCells count="4">
    <mergeCell ref="B2:B3"/>
    <mergeCell ref="B33:B34"/>
    <mergeCell ref="A2:A3"/>
    <mergeCell ref="A33:A34"/>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E140-C17C-4C62-8276-51E2D6F5963C}">
  <sheetPr codeName="Munka5">
    <tabColor rgb="FF0070C0"/>
  </sheetPr>
  <dimension ref="A1:AK88"/>
  <sheetViews>
    <sheetView topLeftCell="A62" zoomScale="68" zoomScaleNormal="68" workbookViewId="0">
      <pane xSplit="2" topLeftCell="AA1" activePane="topRight" state="frozen"/>
      <selection activeCell="AS1" sqref="AS1"/>
      <selection pane="topRight" activeCell="AK31" sqref="AK31"/>
    </sheetView>
  </sheetViews>
  <sheetFormatPr defaultRowHeight="14.5" outlineLevelCol="1" x14ac:dyDescent="0.35"/>
  <cols>
    <col min="1" max="1" width="50" customWidth="1"/>
    <col min="2" max="2" width="42.81640625" customWidth="1"/>
    <col min="3" max="8" width="13.453125" hidden="1" customWidth="1" outlineLevel="1"/>
    <col min="9" max="9" width="14.81640625" hidden="1" customWidth="1" outlineLevel="1"/>
    <col min="10" max="10" width="13.453125" hidden="1" customWidth="1" outlineLevel="1"/>
    <col min="11" max="11" width="15.54296875" bestFit="1" customWidth="1" collapsed="1"/>
    <col min="12" max="12" width="13.453125" customWidth="1"/>
    <col min="13" max="13" width="14.81640625" hidden="1" customWidth="1" outlineLevel="1"/>
    <col min="14" max="18" width="13.453125" hidden="1" customWidth="1" outlineLevel="1"/>
    <col min="19" max="19" width="14.1796875" hidden="1" customWidth="1" outlineLevel="1"/>
    <col min="20" max="20" width="13.453125" hidden="1" customWidth="1" outlineLevel="1"/>
    <col min="21" max="21" width="15.54296875" bestFit="1" customWidth="1" collapsed="1"/>
    <col min="22" max="22" width="13.453125" customWidth="1"/>
    <col min="23" max="30" width="13.453125" customWidth="1" outlineLevel="1"/>
    <col min="31" max="31" width="16.1796875" bestFit="1" customWidth="1"/>
    <col min="32" max="34" width="13.453125" customWidth="1"/>
    <col min="35" max="36" width="13.453125" customWidth="1" outlineLevel="1"/>
  </cols>
  <sheetData>
    <row r="1" spans="1:36" ht="31.5" customHeight="1" thickBot="1" x14ac:dyDescent="0.4">
      <c r="A1" s="39"/>
      <c r="B1" s="39"/>
      <c r="Q1" s="39"/>
      <c r="R1" s="39"/>
      <c r="U1" s="39"/>
      <c r="V1" s="39"/>
    </row>
    <row r="2" spans="1:36" s="229" customFormat="1" ht="15" thickBot="1" x14ac:dyDescent="0.4">
      <c r="A2" s="500" t="s">
        <v>63</v>
      </c>
      <c r="B2" s="500" t="s">
        <v>64</v>
      </c>
      <c r="C2" s="496" t="s">
        <v>49</v>
      </c>
      <c r="D2" s="497"/>
      <c r="E2" s="496" t="s">
        <v>50</v>
      </c>
      <c r="F2" s="497"/>
      <c r="G2" s="496" t="s">
        <v>51</v>
      </c>
      <c r="H2" s="497"/>
      <c r="I2" s="496" t="s">
        <v>52</v>
      </c>
      <c r="J2" s="497"/>
      <c r="K2" s="496">
        <v>2021</v>
      </c>
      <c r="L2" s="497"/>
      <c r="M2" s="496" t="s">
        <v>53</v>
      </c>
      <c r="N2" s="497"/>
      <c r="O2" s="496" t="s">
        <v>54</v>
      </c>
      <c r="P2" s="497"/>
      <c r="Q2" s="496" t="s">
        <v>55</v>
      </c>
      <c r="R2" s="497"/>
      <c r="S2" s="496" t="s">
        <v>56</v>
      </c>
      <c r="T2" s="497"/>
      <c r="U2" s="496">
        <v>2022</v>
      </c>
      <c r="V2" s="497"/>
      <c r="W2" s="496" t="s">
        <v>57</v>
      </c>
      <c r="X2" s="497"/>
      <c r="Y2" s="496" t="s">
        <v>58</v>
      </c>
      <c r="Z2" s="497"/>
      <c r="AA2" s="496" t="s">
        <v>59</v>
      </c>
      <c r="AB2" s="497"/>
      <c r="AC2" s="496" t="s">
        <v>60</v>
      </c>
      <c r="AD2" s="497"/>
      <c r="AE2" s="498">
        <v>2023</v>
      </c>
      <c r="AF2" s="499"/>
      <c r="AG2" s="496" t="s">
        <v>61</v>
      </c>
      <c r="AH2" s="497"/>
      <c r="AI2" s="496" t="s">
        <v>1166</v>
      </c>
      <c r="AJ2" s="497"/>
    </row>
    <row r="3" spans="1:36" s="229" customFormat="1" ht="23.5" thickTop="1" x14ac:dyDescent="0.35">
      <c r="A3" s="501"/>
      <c r="B3" s="501"/>
      <c r="C3" s="230" t="s">
        <v>62</v>
      </c>
      <c r="D3" s="230" t="s">
        <v>627</v>
      </c>
      <c r="E3" s="230" t="s">
        <v>62</v>
      </c>
      <c r="F3" s="230" t="s">
        <v>627</v>
      </c>
      <c r="G3" s="230" t="s">
        <v>62</v>
      </c>
      <c r="H3" s="230" t="s">
        <v>627</v>
      </c>
      <c r="I3" s="230" t="s">
        <v>62</v>
      </c>
      <c r="J3" s="230" t="s">
        <v>627</v>
      </c>
      <c r="K3" s="230" t="s">
        <v>62</v>
      </c>
      <c r="L3" s="230" t="s">
        <v>627</v>
      </c>
      <c r="M3" s="230" t="s">
        <v>62</v>
      </c>
      <c r="N3" s="230" t="s">
        <v>627</v>
      </c>
      <c r="O3" s="230" t="s">
        <v>62</v>
      </c>
      <c r="P3" s="230" t="s">
        <v>627</v>
      </c>
      <c r="Q3" s="230" t="s">
        <v>62</v>
      </c>
      <c r="R3" s="230" t="s">
        <v>627</v>
      </c>
      <c r="S3" s="230" t="s">
        <v>62</v>
      </c>
      <c r="T3" s="230" t="s">
        <v>627</v>
      </c>
      <c r="U3" s="230" t="s">
        <v>62</v>
      </c>
      <c r="V3" s="230" t="s">
        <v>627</v>
      </c>
      <c r="W3" s="230" t="s">
        <v>62</v>
      </c>
      <c r="X3" s="230" t="s">
        <v>627</v>
      </c>
      <c r="Y3" s="230" t="s">
        <v>62</v>
      </c>
      <c r="Z3" s="230" t="s">
        <v>627</v>
      </c>
      <c r="AA3" s="230" t="s">
        <v>62</v>
      </c>
      <c r="AB3" s="230" t="s">
        <v>627</v>
      </c>
      <c r="AC3" s="230" t="s">
        <v>62</v>
      </c>
      <c r="AD3" s="230" t="s">
        <v>627</v>
      </c>
      <c r="AE3" s="230" t="s">
        <v>62</v>
      </c>
      <c r="AF3" s="230" t="s">
        <v>627</v>
      </c>
      <c r="AG3" s="230" t="s">
        <v>62</v>
      </c>
      <c r="AH3" s="230" t="s">
        <v>627</v>
      </c>
      <c r="AI3" s="230" t="s">
        <v>62</v>
      </c>
      <c r="AJ3" s="230" t="s">
        <v>627</v>
      </c>
    </row>
    <row r="4" spans="1:36" s="229" customFormat="1" x14ac:dyDescent="0.35">
      <c r="A4" s="286" t="s">
        <v>628</v>
      </c>
      <c r="B4" s="286" t="s">
        <v>629</v>
      </c>
      <c r="C4" s="287">
        <v>112069</v>
      </c>
      <c r="D4" s="288">
        <f>C4/C$4</f>
        <v>1</v>
      </c>
      <c r="E4" s="289">
        <v>125279</v>
      </c>
      <c r="F4" s="288">
        <f t="shared" ref="F4:F9" si="0">E4/E$4</f>
        <v>1</v>
      </c>
      <c r="G4" s="287">
        <v>126367</v>
      </c>
      <c r="H4" s="288">
        <f>SUM(H5:H9)</f>
        <v>1</v>
      </c>
      <c r="I4" s="287">
        <v>141304</v>
      </c>
      <c r="J4" s="290">
        <f>SUM(J5:J9)</f>
        <v>1</v>
      </c>
      <c r="K4" s="340">
        <v>505019</v>
      </c>
      <c r="L4" s="341">
        <f>SUM(L5:L9)</f>
        <v>1</v>
      </c>
      <c r="M4" s="287">
        <v>135308</v>
      </c>
      <c r="N4" s="290">
        <f>SUM(N5:N9)</f>
        <v>1</v>
      </c>
      <c r="O4" s="287">
        <v>157441</v>
      </c>
      <c r="P4" s="290">
        <f>SUM(P5:P9)</f>
        <v>1</v>
      </c>
      <c r="Q4" s="287">
        <v>180364</v>
      </c>
      <c r="R4" s="290">
        <f>SUM(R5:R9)</f>
        <v>1</v>
      </c>
      <c r="S4" s="287">
        <v>183230</v>
      </c>
      <c r="T4" s="290">
        <f>SUM(T5:T9)</f>
        <v>1</v>
      </c>
      <c r="U4" s="340">
        <v>656343</v>
      </c>
      <c r="V4" s="341">
        <f>SUM(V5:V9)</f>
        <v>1</v>
      </c>
      <c r="W4" s="287">
        <v>177759</v>
      </c>
      <c r="X4" s="290">
        <f>SUM(X5:X9)</f>
        <v>0.99999999999999989</v>
      </c>
      <c r="Y4" s="287">
        <v>184380</v>
      </c>
      <c r="Z4" s="290">
        <f>SUM(Z5:Z9)</f>
        <v>1</v>
      </c>
      <c r="AA4" s="287">
        <v>185307</v>
      </c>
      <c r="AB4" s="290">
        <f>SUM(AB5:AB9)</f>
        <v>1</v>
      </c>
      <c r="AC4" s="287">
        <f t="shared" ref="AC4:AC11" si="1">AE4-W4-Y4-AA4</f>
        <v>200000</v>
      </c>
      <c r="AD4" s="290">
        <f>AC4/$AC$4</f>
        <v>1</v>
      </c>
      <c r="AE4" s="340">
        <v>747446</v>
      </c>
      <c r="AF4" s="341">
        <f>AE4/$AE$4</f>
        <v>1</v>
      </c>
      <c r="AG4" s="388">
        <f>SUM(AG5:AG9)</f>
        <v>200125</v>
      </c>
      <c r="AH4" s="389">
        <f>SUM(AH5:AH9)</f>
        <v>0.99999999999999989</v>
      </c>
      <c r="AI4" s="388">
        <f>SUM(AI5:AI9)</f>
        <v>213254</v>
      </c>
      <c r="AJ4" s="389">
        <f>AI4/AI4</f>
        <v>1</v>
      </c>
    </row>
    <row r="5" spans="1:36" s="229" customFormat="1" x14ac:dyDescent="0.35">
      <c r="A5" s="118" t="s">
        <v>630</v>
      </c>
      <c r="B5" s="118" t="s">
        <v>631</v>
      </c>
      <c r="C5" s="8">
        <v>21487</v>
      </c>
      <c r="D5" s="28">
        <f t="shared" ref="D5:D8" si="2">C5/C$4</f>
        <v>0.19173009485227852</v>
      </c>
      <c r="E5" s="8">
        <v>24179</v>
      </c>
      <c r="F5" s="28">
        <f t="shared" si="0"/>
        <v>0.19300122127411617</v>
      </c>
      <c r="G5" s="18">
        <v>28663</v>
      </c>
      <c r="H5" s="28">
        <f>G5/G$4</f>
        <v>0.22682345865613648</v>
      </c>
      <c r="I5" s="18">
        <v>31847</v>
      </c>
      <c r="J5" s="123">
        <f>I5/I4</f>
        <v>0.22537932401064373</v>
      </c>
      <c r="K5" s="342">
        <v>106176</v>
      </c>
      <c r="L5" s="343">
        <f>K5/K4</f>
        <v>0.21024159487068803</v>
      </c>
      <c r="M5" s="18">
        <v>29031</v>
      </c>
      <c r="N5" s="123">
        <f>M5/M4</f>
        <v>0.21455494131906466</v>
      </c>
      <c r="O5" s="18">
        <v>31747</v>
      </c>
      <c r="P5" s="123">
        <f>O5/O4</f>
        <v>0.20164379037226643</v>
      </c>
      <c r="Q5" s="18">
        <v>42980</v>
      </c>
      <c r="R5" s="123">
        <f>Q5/Q4</f>
        <v>0.23829589053247877</v>
      </c>
      <c r="S5" s="18">
        <v>42144</v>
      </c>
      <c r="T5" s="123">
        <f>S5/S4</f>
        <v>0.23000600338372537</v>
      </c>
      <c r="U5" s="342">
        <v>145902</v>
      </c>
      <c r="V5" s="343">
        <f>U5/U4</f>
        <v>0.22229535471544604</v>
      </c>
      <c r="W5" s="18">
        <v>43295</v>
      </c>
      <c r="X5" s="123">
        <f>W5/W4</f>
        <v>0.24356010103567188</v>
      </c>
      <c r="Y5" s="18">
        <v>46115</v>
      </c>
      <c r="Z5" s="123">
        <f>Y5/Y4</f>
        <v>0.25010847163466754</v>
      </c>
      <c r="AA5" s="18">
        <v>55141</v>
      </c>
      <c r="AB5" s="123">
        <f>AA5/AA4</f>
        <v>0.29756566130799161</v>
      </c>
      <c r="AC5" s="18">
        <f t="shared" si="1"/>
        <v>61111</v>
      </c>
      <c r="AD5" s="123">
        <f t="shared" ref="AD5:AD9" si="3">AC5/$AC$4</f>
        <v>0.30555500000000002</v>
      </c>
      <c r="AE5" s="342">
        <v>205662</v>
      </c>
      <c r="AF5" s="343">
        <f t="shared" ref="AF5:AF9" si="4">AE5/$AE$4</f>
        <v>0.27515298764057872</v>
      </c>
      <c r="AG5" s="352">
        <v>52968</v>
      </c>
      <c r="AH5" s="390">
        <f>AG5/AG4</f>
        <v>0.26467457838850716</v>
      </c>
      <c r="AI5" s="352">
        <v>56450</v>
      </c>
      <c r="AJ5" s="390">
        <f>AI5/AI4</f>
        <v>0.26470781321804043</v>
      </c>
    </row>
    <row r="6" spans="1:36" s="229" customFormat="1" x14ac:dyDescent="0.35">
      <c r="A6" s="118" t="s">
        <v>632</v>
      </c>
      <c r="B6" s="118" t="s">
        <v>633</v>
      </c>
      <c r="C6" s="8">
        <v>37935</v>
      </c>
      <c r="D6" s="28">
        <f t="shared" si="2"/>
        <v>0.3384968189240557</v>
      </c>
      <c r="E6" s="8">
        <v>42302</v>
      </c>
      <c r="F6" s="28">
        <f t="shared" si="0"/>
        <v>0.33766233766233766</v>
      </c>
      <c r="G6" s="18">
        <v>40190</v>
      </c>
      <c r="H6" s="28">
        <f>G6/G$4</f>
        <v>0.31804189384886877</v>
      </c>
      <c r="I6" s="18">
        <v>44716</v>
      </c>
      <c r="J6" s="123">
        <f>I6/I4</f>
        <v>0.3164524712676216</v>
      </c>
      <c r="K6" s="342">
        <v>165143</v>
      </c>
      <c r="L6" s="343">
        <f>K6/K4</f>
        <v>0.32700353848073044</v>
      </c>
      <c r="M6" s="18">
        <v>44782</v>
      </c>
      <c r="N6" s="123">
        <f>M6/M4</f>
        <v>0.33096343157832503</v>
      </c>
      <c r="O6" s="18">
        <v>58066</v>
      </c>
      <c r="P6" s="123">
        <f>O6/O4</f>
        <v>0.3688111737095166</v>
      </c>
      <c r="Q6" s="18">
        <v>62960</v>
      </c>
      <c r="R6" s="123">
        <f>Q6/Q4</f>
        <v>0.34907187687121599</v>
      </c>
      <c r="S6" s="18">
        <v>63398</v>
      </c>
      <c r="T6" s="123">
        <f>S6/S4</f>
        <v>0.34600229220105877</v>
      </c>
      <c r="U6" s="342">
        <v>229206</v>
      </c>
      <c r="V6" s="343">
        <f>U6/U4</f>
        <v>0.34921679670538119</v>
      </c>
      <c r="W6" s="18">
        <v>63320</v>
      </c>
      <c r="X6" s="123">
        <f>W6/W4</f>
        <v>0.35621262495851125</v>
      </c>
      <c r="Y6" s="18">
        <v>66418</v>
      </c>
      <c r="Z6" s="123">
        <f>Y6/Y4</f>
        <v>0.36022345156741514</v>
      </c>
      <c r="AA6" s="18">
        <v>62195</v>
      </c>
      <c r="AB6" s="123">
        <f>AA6/AA4</f>
        <v>0.33563222112494401</v>
      </c>
      <c r="AC6" s="18">
        <f t="shared" si="1"/>
        <v>63740</v>
      </c>
      <c r="AD6" s="123">
        <f t="shared" si="3"/>
        <v>0.31869999999999998</v>
      </c>
      <c r="AE6" s="342">
        <v>255673</v>
      </c>
      <c r="AF6" s="343">
        <f t="shared" si="4"/>
        <v>0.34206216903963632</v>
      </c>
      <c r="AG6" s="352">
        <v>74188</v>
      </c>
      <c r="AH6" s="390">
        <f>AG6/AG4</f>
        <v>0.37070830730793253</v>
      </c>
      <c r="AI6" s="352">
        <v>75331</v>
      </c>
      <c r="AJ6" s="390">
        <f>AI6/AI4</f>
        <v>0.35324542564266087</v>
      </c>
    </row>
    <row r="7" spans="1:36" s="229" customFormat="1" x14ac:dyDescent="0.35">
      <c r="A7" s="118" t="s">
        <v>634</v>
      </c>
      <c r="B7" s="118" t="s">
        <v>635</v>
      </c>
      <c r="C7" s="8">
        <v>5814</v>
      </c>
      <c r="D7" s="28">
        <f>C7/C$4</f>
        <v>5.1878753268075915E-2</v>
      </c>
      <c r="E7" s="8">
        <v>9106</v>
      </c>
      <c r="F7" s="28">
        <f t="shared" si="0"/>
        <v>7.2685765371690386E-2</v>
      </c>
      <c r="G7" s="18">
        <v>7364</v>
      </c>
      <c r="H7" s="28">
        <f>G7/G$4</f>
        <v>5.8274707795547886E-2</v>
      </c>
      <c r="I7" s="18">
        <v>9107</v>
      </c>
      <c r="J7" s="123">
        <f>I7/I4</f>
        <v>6.4449697106946729E-2</v>
      </c>
      <c r="K7" s="342">
        <v>31391</v>
      </c>
      <c r="L7" s="343">
        <f>K7/K4</f>
        <v>6.2158057419621833E-2</v>
      </c>
      <c r="M7" s="18">
        <v>8875</v>
      </c>
      <c r="N7" s="123">
        <f>M7/M4</f>
        <v>6.5591095870162888E-2</v>
      </c>
      <c r="O7" s="18">
        <v>11028</v>
      </c>
      <c r="P7" s="123">
        <f>O7/O4</f>
        <v>7.0045286805851079E-2</v>
      </c>
      <c r="Q7" s="18">
        <v>9025</v>
      </c>
      <c r="R7" s="123">
        <f>Q7/Q4</f>
        <v>5.0037701536892062E-2</v>
      </c>
      <c r="S7" s="18">
        <v>12257</v>
      </c>
      <c r="T7" s="123">
        <f>S7/S4</f>
        <v>6.6894067565355014E-2</v>
      </c>
      <c r="U7" s="342">
        <f>SUM(M7:S7)</f>
        <v>41185.185674084212</v>
      </c>
      <c r="V7" s="343">
        <f>U7/U4</f>
        <v>6.2749485671492217E-2</v>
      </c>
      <c r="W7" s="18">
        <v>7858</v>
      </c>
      <c r="X7" s="123">
        <f>W7/W4</f>
        <v>4.4205919250220806E-2</v>
      </c>
      <c r="Y7" s="18">
        <v>13447</v>
      </c>
      <c r="Z7" s="123">
        <f>Y7/Y4</f>
        <v>7.2930903568716787E-2</v>
      </c>
      <c r="AA7" s="18">
        <v>11502</v>
      </c>
      <c r="AB7" s="123">
        <f>AA7/AA4</f>
        <v>6.2069970373488319E-2</v>
      </c>
      <c r="AC7" s="18">
        <f t="shared" si="1"/>
        <v>13394</v>
      </c>
      <c r="AD7" s="123">
        <f t="shared" si="3"/>
        <v>6.6970000000000002E-2</v>
      </c>
      <c r="AE7" s="342">
        <v>46201</v>
      </c>
      <c r="AF7" s="343">
        <f t="shared" si="4"/>
        <v>6.1811823195254238E-2</v>
      </c>
      <c r="AG7" s="352">
        <v>11441</v>
      </c>
      <c r="AH7" s="390">
        <f>AG7/AG4</f>
        <v>5.7169269206745782E-2</v>
      </c>
      <c r="AI7" s="352">
        <v>15080</v>
      </c>
      <c r="AJ7" s="390">
        <f>AI7/AI4</f>
        <v>7.0713796693145259E-2</v>
      </c>
    </row>
    <row r="8" spans="1:36" s="229" customFormat="1" x14ac:dyDescent="0.35">
      <c r="A8" s="118" t="s">
        <v>636</v>
      </c>
      <c r="B8" s="118" t="s">
        <v>636</v>
      </c>
      <c r="C8" s="8">
        <v>43731</v>
      </c>
      <c r="D8" s="28">
        <f t="shared" si="2"/>
        <v>0.39021495685693636</v>
      </c>
      <c r="E8" s="8">
        <v>46125</v>
      </c>
      <c r="F8" s="28">
        <f t="shared" si="0"/>
        <v>0.36817822619912355</v>
      </c>
      <c r="G8" s="18">
        <v>46999</v>
      </c>
      <c r="H8" s="28">
        <f>G8/G$4</f>
        <v>0.37192463222201999</v>
      </c>
      <c r="I8" s="18">
        <v>52920</v>
      </c>
      <c r="J8" s="123">
        <f>I8/I4</f>
        <v>0.37451169110570121</v>
      </c>
      <c r="K8" s="342">
        <v>189775</v>
      </c>
      <c r="L8" s="343">
        <f>K8/K4</f>
        <v>0.3757779410279613</v>
      </c>
      <c r="M8" s="18">
        <v>49298</v>
      </c>
      <c r="N8" s="123">
        <f>M8/M4</f>
        <v>0.3643391373754693</v>
      </c>
      <c r="O8" s="18">
        <v>52521</v>
      </c>
      <c r="P8" s="123">
        <f>O8/O4</f>
        <v>0.33359163115071677</v>
      </c>
      <c r="Q8" s="18">
        <v>61508</v>
      </c>
      <c r="R8" s="123">
        <f>Q8/Q4</f>
        <v>0.34102148987602848</v>
      </c>
      <c r="S8" s="18">
        <v>62589</v>
      </c>
      <c r="T8" s="123">
        <f>S8/S4</f>
        <v>0.34158707635212576</v>
      </c>
      <c r="U8" s="342">
        <v>225916</v>
      </c>
      <c r="V8" s="343">
        <f>U8/U4</f>
        <v>0.34420417373233203</v>
      </c>
      <c r="W8" s="18">
        <v>59467</v>
      </c>
      <c r="X8" s="123">
        <f>W8/W4</f>
        <v>0.33453721049285828</v>
      </c>
      <c r="Y8" s="18">
        <v>55093</v>
      </c>
      <c r="Z8" s="123">
        <f>Y8/Y4</f>
        <v>0.29880138843692372</v>
      </c>
      <c r="AA8" s="18">
        <v>53737</v>
      </c>
      <c r="AB8" s="123">
        <f>AA8/AA4</f>
        <v>0.28998904520606344</v>
      </c>
      <c r="AC8" s="18">
        <f t="shared" si="1"/>
        <v>58591</v>
      </c>
      <c r="AD8" s="123">
        <f t="shared" si="3"/>
        <v>0.29295500000000002</v>
      </c>
      <c r="AE8" s="342">
        <v>226888</v>
      </c>
      <c r="AF8" s="343">
        <f t="shared" si="4"/>
        <v>0.30355102575972043</v>
      </c>
      <c r="AG8" s="352">
        <v>58473</v>
      </c>
      <c r="AH8" s="390">
        <f>AG8/AG4</f>
        <v>0.29218238600874452</v>
      </c>
      <c r="AI8" s="352">
        <f>121420-AG8</f>
        <v>62947</v>
      </c>
      <c r="AJ8" s="390">
        <f>AI8/AI4</f>
        <v>0.29517383026813099</v>
      </c>
    </row>
    <row r="9" spans="1:36" s="229" customFormat="1" x14ac:dyDescent="0.35">
      <c r="A9" s="118" t="s">
        <v>637</v>
      </c>
      <c r="B9" s="118" t="s">
        <v>638</v>
      </c>
      <c r="C9" s="8">
        <f>C4-C5-C6-C7-C8</f>
        <v>3102</v>
      </c>
      <c r="D9" s="28">
        <f>C9/C$4</f>
        <v>2.7679376098653508E-2</v>
      </c>
      <c r="E9" s="8">
        <f>E4-E5-E6-E7-E8</f>
        <v>3567</v>
      </c>
      <c r="F9" s="28">
        <f t="shared" si="0"/>
        <v>2.847244949273222E-2</v>
      </c>
      <c r="G9" s="18">
        <f>G4-G5-G6-G7-G8</f>
        <v>3151</v>
      </c>
      <c r="H9" s="28">
        <f>G9/G$4</f>
        <v>2.4935307477426859E-2</v>
      </c>
      <c r="I9" s="337">
        <f>I4-I5-I6-I7-I8</f>
        <v>2714</v>
      </c>
      <c r="J9" s="28">
        <f>I9/I4</f>
        <v>1.9206816509086792E-2</v>
      </c>
      <c r="K9" s="342">
        <v>12534</v>
      </c>
      <c r="L9" s="343">
        <f>K9/K4</f>
        <v>2.4818868200998379E-2</v>
      </c>
      <c r="M9" s="18">
        <f>M4-M5-M6-M7-M8</f>
        <v>3322</v>
      </c>
      <c r="N9" s="28">
        <f>M9/M4</f>
        <v>2.4551393856978153E-2</v>
      </c>
      <c r="O9" s="18">
        <f>O4-O5-O6-O7-O8</f>
        <v>4079</v>
      </c>
      <c r="P9" s="123">
        <f>O9/O4</f>
        <v>2.5908117961649126E-2</v>
      </c>
      <c r="Q9" s="338">
        <f>Q4-Q5-Q6-Q7-Q8</f>
        <v>3891</v>
      </c>
      <c r="R9" s="28">
        <f>Q9/Q4</f>
        <v>2.1573041183384711E-2</v>
      </c>
      <c r="S9" s="18">
        <f>S4-S5-S6-S7-S8</f>
        <v>2842</v>
      </c>
      <c r="T9" s="123">
        <f>S9/S4</f>
        <v>1.5510560497735087E-2</v>
      </c>
      <c r="U9" s="342">
        <f>U4-U5-U6-U7-U8</f>
        <v>14133.814325915795</v>
      </c>
      <c r="V9" s="343">
        <f>U9/U4</f>
        <v>2.1534189175348554E-2</v>
      </c>
      <c r="W9" s="18">
        <f>W4-W5-W6-W7-W8</f>
        <v>3819</v>
      </c>
      <c r="X9" s="123">
        <f>W9/W4</f>
        <v>2.1484144262737752E-2</v>
      </c>
      <c r="Y9" s="338">
        <f>Y4-Y5-Y6-Y7-Y8</f>
        <v>3307</v>
      </c>
      <c r="Z9" s="28">
        <f>Y9/Y4</f>
        <v>1.793578479227682E-2</v>
      </c>
      <c r="AA9" s="18">
        <f>AA4-AA5-AA6-AA7-AA8</f>
        <v>2732</v>
      </c>
      <c r="AB9" s="123">
        <f>AA9/AA4</f>
        <v>1.4743101987512615E-2</v>
      </c>
      <c r="AC9" s="18">
        <f t="shared" si="1"/>
        <v>3164</v>
      </c>
      <c r="AD9" s="123">
        <f t="shared" si="3"/>
        <v>1.5820000000000001E-2</v>
      </c>
      <c r="AE9" s="342">
        <v>13022</v>
      </c>
      <c r="AF9" s="343">
        <f t="shared" si="4"/>
        <v>1.74219943648103E-2</v>
      </c>
      <c r="AG9" s="352">
        <v>3055</v>
      </c>
      <c r="AH9" s="390">
        <f>AG9/AG4</f>
        <v>1.5265459088069956E-2</v>
      </c>
      <c r="AI9" s="338">
        <v>3446</v>
      </c>
      <c r="AJ9" s="28">
        <f>AI9/AI4</f>
        <v>1.6159134178022453E-2</v>
      </c>
    </row>
    <row r="10" spans="1:36" s="229" customFormat="1" x14ac:dyDescent="0.35">
      <c r="A10" s="298" t="s">
        <v>639</v>
      </c>
      <c r="B10" s="298" t="s">
        <v>640</v>
      </c>
      <c r="C10" s="299">
        <v>28825</v>
      </c>
      <c r="D10" s="300"/>
      <c r="E10" s="301">
        <v>30630</v>
      </c>
      <c r="F10" s="339"/>
      <c r="G10" s="299">
        <v>31151</v>
      </c>
      <c r="H10" s="300"/>
      <c r="I10" s="299">
        <f>K10-C10-E10-G10</f>
        <v>34970</v>
      </c>
      <c r="J10" s="300"/>
      <c r="K10" s="346">
        <v>125576</v>
      </c>
      <c r="L10" s="345"/>
      <c r="M10" s="299">
        <v>32749</v>
      </c>
      <c r="N10" s="299"/>
      <c r="O10" s="299">
        <v>35482</v>
      </c>
      <c r="P10" s="299"/>
      <c r="Q10" s="299">
        <v>37443</v>
      </c>
      <c r="R10" s="299"/>
      <c r="S10" s="299">
        <f>U10-Q10-O10-M10</f>
        <v>40738</v>
      </c>
      <c r="T10" s="299"/>
      <c r="U10" s="346">
        <v>146412</v>
      </c>
      <c r="V10" s="345"/>
      <c r="W10" s="299">
        <f>35958-4064</f>
        <v>31894</v>
      </c>
      <c r="X10" s="299"/>
      <c r="Y10" s="299">
        <v>19403</v>
      </c>
      <c r="Z10" s="299"/>
      <c r="AA10" s="299">
        <v>3237</v>
      </c>
      <c r="AB10" s="299"/>
      <c r="AC10" s="299">
        <f t="shared" si="1"/>
        <v>3178</v>
      </c>
      <c r="AD10" s="299"/>
      <c r="AE10" s="344">
        <v>57712</v>
      </c>
      <c r="AF10" s="345"/>
      <c r="AG10" s="391">
        <v>3307</v>
      </c>
      <c r="AH10" s="391"/>
      <c r="AI10" s="391">
        <v>3007</v>
      </c>
      <c r="AJ10" s="391"/>
    </row>
    <row r="11" spans="1:36" s="229" customFormat="1" x14ac:dyDescent="0.35">
      <c r="A11" s="298" t="s">
        <v>641</v>
      </c>
      <c r="B11" s="298" t="s">
        <v>642</v>
      </c>
      <c r="C11" s="299">
        <v>140894</v>
      </c>
      <c r="D11" s="300"/>
      <c r="E11" s="301">
        <v>155909</v>
      </c>
      <c r="F11" s="300"/>
      <c r="G11" s="299">
        <v>157518</v>
      </c>
      <c r="H11" s="300"/>
      <c r="I11" s="299">
        <f>K11-C11-E11-G11</f>
        <v>176274</v>
      </c>
      <c r="J11" s="300"/>
      <c r="K11" s="344">
        <v>630595</v>
      </c>
      <c r="L11" s="345"/>
      <c r="M11" s="299">
        <f>M4+M10</f>
        <v>168057</v>
      </c>
      <c r="N11" s="299"/>
      <c r="O11" s="299">
        <f>O4+O10</f>
        <v>192923</v>
      </c>
      <c r="P11" s="299"/>
      <c r="Q11" s="299">
        <v>217807</v>
      </c>
      <c r="R11" s="299"/>
      <c r="S11" s="299">
        <f>U11-Q11-O11-M11</f>
        <v>223968</v>
      </c>
      <c r="T11" s="299"/>
      <c r="U11" s="344">
        <v>802755</v>
      </c>
      <c r="V11" s="345"/>
      <c r="W11" s="299">
        <v>209653</v>
      </c>
      <c r="X11" s="299"/>
      <c r="Y11" s="299">
        <v>203783</v>
      </c>
      <c r="Z11" s="299"/>
      <c r="AA11" s="299">
        <v>188544</v>
      </c>
      <c r="AB11" s="299"/>
      <c r="AC11" s="299">
        <f t="shared" si="1"/>
        <v>203178</v>
      </c>
      <c r="AD11" s="299"/>
      <c r="AE11" s="344">
        <v>805158</v>
      </c>
      <c r="AF11" s="345"/>
      <c r="AG11" s="391">
        <f>AG4+AG10</f>
        <v>203432</v>
      </c>
      <c r="AH11" s="391"/>
      <c r="AI11" s="391">
        <f>AI4+AI10</f>
        <v>216261</v>
      </c>
      <c r="AJ11" s="391"/>
    </row>
    <row r="12" spans="1:36" s="229" customFormat="1" x14ac:dyDescent="0.35">
      <c r="A12" s="34"/>
      <c r="B12" s="34"/>
      <c r="C12" s="18"/>
      <c r="D12" s="28"/>
      <c r="E12" s="8"/>
      <c r="F12" s="28"/>
      <c r="G12" s="18"/>
      <c r="H12" s="28"/>
      <c r="I12" s="18"/>
      <c r="J12" s="123"/>
      <c r="K12" s="3"/>
      <c r="L12" s="234"/>
      <c r="M12" s="18"/>
      <c r="N12" s="123"/>
      <c r="O12" s="18"/>
      <c r="P12" s="123"/>
      <c r="Q12" s="18"/>
      <c r="R12" s="123"/>
      <c r="S12" s="18"/>
      <c r="T12" s="123"/>
      <c r="U12" s="3"/>
      <c r="V12" s="234"/>
      <c r="W12" s="18"/>
      <c r="X12" s="123"/>
      <c r="Y12" s="18"/>
      <c r="Z12" s="123"/>
      <c r="AA12" s="18"/>
      <c r="AB12" s="123"/>
      <c r="AD12" s="233"/>
      <c r="AE12" s="3"/>
      <c r="AF12" s="234"/>
      <c r="AG12" s="18"/>
      <c r="AH12" s="123"/>
      <c r="AI12" s="18"/>
      <c r="AJ12" s="123"/>
    </row>
    <row r="13" spans="1:36" s="229" customFormat="1" ht="15" thickBot="1" x14ac:dyDescent="0.4">
      <c r="A13" s="34"/>
      <c r="B13" s="34"/>
      <c r="O13" s="235"/>
      <c r="Q13" s="236"/>
      <c r="R13" s="237"/>
      <c r="T13" s="233"/>
      <c r="U13" s="238"/>
      <c r="V13" s="236"/>
      <c r="Y13" s="235"/>
      <c r="AI13" s="235"/>
    </row>
    <row r="14" spans="1:36" s="229" customFormat="1" ht="15" thickBot="1" x14ac:dyDescent="0.4">
      <c r="A14" s="500" t="s">
        <v>67</v>
      </c>
      <c r="B14" s="500" t="s">
        <v>68</v>
      </c>
      <c r="C14" s="496" t="s">
        <v>49</v>
      </c>
      <c r="D14" s="497"/>
      <c r="E14" s="496" t="s">
        <v>50</v>
      </c>
      <c r="F14" s="497"/>
      <c r="G14" s="496" t="s">
        <v>51</v>
      </c>
      <c r="H14" s="497"/>
      <c r="I14" s="496" t="s">
        <v>52</v>
      </c>
      <c r="J14" s="497"/>
      <c r="K14" s="496">
        <v>2021</v>
      </c>
      <c r="L14" s="497"/>
      <c r="M14" s="496" t="s">
        <v>53</v>
      </c>
      <c r="N14" s="497"/>
      <c r="O14" s="496" t="s">
        <v>54</v>
      </c>
      <c r="P14" s="497"/>
      <c r="Q14" s="496" t="s">
        <v>55</v>
      </c>
      <c r="R14" s="497"/>
      <c r="S14" s="496" t="s">
        <v>56</v>
      </c>
      <c r="T14" s="497"/>
      <c r="U14" s="496">
        <v>2022</v>
      </c>
      <c r="V14" s="497"/>
      <c r="W14" s="496" t="s">
        <v>57</v>
      </c>
      <c r="X14" s="497"/>
      <c r="Y14" s="496" t="s">
        <v>58</v>
      </c>
      <c r="Z14" s="497"/>
      <c r="AA14" s="496" t="s">
        <v>59</v>
      </c>
      <c r="AB14" s="497"/>
      <c r="AC14" s="496" t="s">
        <v>60</v>
      </c>
      <c r="AD14" s="497"/>
      <c r="AE14" s="498">
        <v>2023</v>
      </c>
      <c r="AF14" s="499"/>
      <c r="AG14" s="496" t="s">
        <v>61</v>
      </c>
      <c r="AH14" s="497"/>
      <c r="AI14" s="496" t="s">
        <v>1166</v>
      </c>
      <c r="AJ14" s="497"/>
    </row>
    <row r="15" spans="1:36" s="229" customFormat="1" ht="23.5" thickTop="1" x14ac:dyDescent="0.35">
      <c r="A15" s="501"/>
      <c r="B15" s="501"/>
      <c r="C15" s="230" t="s">
        <v>62</v>
      </c>
      <c r="D15" s="230" t="s">
        <v>627</v>
      </c>
      <c r="E15" s="230" t="s">
        <v>62</v>
      </c>
      <c r="F15" s="230" t="s">
        <v>627</v>
      </c>
      <c r="G15" s="230" t="s">
        <v>62</v>
      </c>
      <c r="H15" s="230" t="s">
        <v>627</v>
      </c>
      <c r="I15" s="230" t="s">
        <v>62</v>
      </c>
      <c r="J15" s="230" t="s">
        <v>627</v>
      </c>
      <c r="K15" s="230" t="s">
        <v>62</v>
      </c>
      <c r="L15" s="230" t="s">
        <v>627</v>
      </c>
      <c r="M15" s="230" t="s">
        <v>62</v>
      </c>
      <c r="N15" s="230" t="s">
        <v>627</v>
      </c>
      <c r="O15" s="230" t="s">
        <v>62</v>
      </c>
      <c r="P15" s="230" t="s">
        <v>627</v>
      </c>
      <c r="Q15" s="230" t="s">
        <v>62</v>
      </c>
      <c r="R15" s="230" t="s">
        <v>627</v>
      </c>
      <c r="S15" s="230" t="s">
        <v>62</v>
      </c>
      <c r="T15" s="230" t="s">
        <v>627</v>
      </c>
      <c r="U15" s="230" t="s">
        <v>62</v>
      </c>
      <c r="V15" s="230" t="s">
        <v>627</v>
      </c>
      <c r="W15" s="230" t="s">
        <v>62</v>
      </c>
      <c r="X15" s="230" t="s">
        <v>627</v>
      </c>
      <c r="Y15" s="230" t="s">
        <v>62</v>
      </c>
      <c r="Z15" s="230" t="s">
        <v>627</v>
      </c>
      <c r="AA15" s="230" t="s">
        <v>62</v>
      </c>
      <c r="AB15" s="230" t="s">
        <v>627</v>
      </c>
      <c r="AC15" s="230" t="s">
        <v>62</v>
      </c>
      <c r="AD15" s="230" t="s">
        <v>627</v>
      </c>
      <c r="AE15" s="230" t="s">
        <v>62</v>
      </c>
      <c r="AF15" s="230" t="s">
        <v>627</v>
      </c>
      <c r="AG15" s="230" t="s">
        <v>62</v>
      </c>
      <c r="AH15" s="230" t="s">
        <v>627</v>
      </c>
      <c r="AI15" s="230" t="s">
        <v>62</v>
      </c>
      <c r="AJ15" s="230" t="s">
        <v>627</v>
      </c>
    </row>
    <row r="16" spans="1:36" s="229" customFormat="1" x14ac:dyDescent="0.35">
      <c r="A16" s="286" t="s">
        <v>643</v>
      </c>
      <c r="B16" s="286" t="s">
        <v>629</v>
      </c>
      <c r="C16" s="287">
        <v>75575</v>
      </c>
      <c r="D16" s="288">
        <f t="shared" ref="D16:D21" si="5">C16/C$16</f>
        <v>1</v>
      </c>
      <c r="E16" s="287">
        <v>85274</v>
      </c>
      <c r="F16" s="288">
        <f t="shared" ref="F16:F21" si="6">E16/E$16</f>
        <v>1</v>
      </c>
      <c r="G16" s="287">
        <v>83221</v>
      </c>
      <c r="H16" s="288">
        <f t="shared" ref="H16:H21" si="7">G16/G$16</f>
        <v>1</v>
      </c>
      <c r="I16" s="287">
        <v>94197</v>
      </c>
      <c r="J16" s="290">
        <f t="shared" ref="J16:J21" si="8">I16/I$16</f>
        <v>1</v>
      </c>
      <c r="K16" s="291">
        <v>338267</v>
      </c>
      <c r="L16" s="292">
        <f t="shared" ref="L16:L21" si="9">K16/K$16</f>
        <v>1</v>
      </c>
      <c r="M16" s="289">
        <v>92711</v>
      </c>
      <c r="N16" s="290">
        <f t="shared" ref="N16:N21" si="10">M16/M$16</f>
        <v>1</v>
      </c>
      <c r="O16" s="287">
        <v>107142</v>
      </c>
      <c r="P16" s="290">
        <f t="shared" ref="P16:P21" si="11">O16/O$16</f>
        <v>1</v>
      </c>
      <c r="Q16" s="287">
        <v>127379</v>
      </c>
      <c r="R16" s="290">
        <f t="shared" ref="R16:R21" si="12">Q16/Q$16</f>
        <v>1</v>
      </c>
      <c r="S16" s="287">
        <v>120223</v>
      </c>
      <c r="T16" s="290">
        <f t="shared" ref="T16:T21" si="13">S16/S$16</f>
        <v>1</v>
      </c>
      <c r="U16" s="291">
        <v>447455</v>
      </c>
      <c r="V16" s="292">
        <f t="shared" ref="V16:V21" si="14">U16/U$16</f>
        <v>1</v>
      </c>
      <c r="W16" s="287">
        <v>124362</v>
      </c>
      <c r="X16" s="290">
        <f t="shared" ref="X16:X21" si="15">W16/W$16</f>
        <v>1</v>
      </c>
      <c r="Y16" s="287">
        <v>126984</v>
      </c>
      <c r="Z16" s="290">
        <f t="shared" ref="Z16:Z21" si="16">Y16/Y$16</f>
        <v>1</v>
      </c>
      <c r="AA16" s="287">
        <v>133913</v>
      </c>
      <c r="AB16" s="290">
        <f t="shared" ref="AB16:AB21" si="17">AA16/AA$16</f>
        <v>1</v>
      </c>
      <c r="AC16" s="287">
        <f>AE16-W16-Y16-AA16</f>
        <v>128738</v>
      </c>
      <c r="AD16" s="290">
        <f>AC16/$AC$16</f>
        <v>1</v>
      </c>
      <c r="AE16" s="293">
        <v>513997</v>
      </c>
      <c r="AF16" s="292">
        <f>AE16/$AE$16</f>
        <v>1</v>
      </c>
      <c r="AG16" s="388">
        <f>SUM(AG17:AG21)</f>
        <v>140509</v>
      </c>
      <c r="AH16" s="389">
        <f t="shared" ref="AH16:AH21" si="18">AG16/AG$16</f>
        <v>1</v>
      </c>
      <c r="AI16" s="388">
        <f>SUM(AI17:AI21)</f>
        <v>148802</v>
      </c>
      <c r="AJ16" s="389">
        <f>AI16/AI16</f>
        <v>1</v>
      </c>
    </row>
    <row r="17" spans="1:37" s="229" customFormat="1" x14ac:dyDescent="0.35">
      <c r="A17" s="225" t="s">
        <v>630</v>
      </c>
      <c r="B17" s="118" t="s">
        <v>631</v>
      </c>
      <c r="C17" s="8">
        <v>21419</v>
      </c>
      <c r="D17" s="28">
        <f t="shared" si="5"/>
        <v>0.28341382732385045</v>
      </c>
      <c r="E17" s="18">
        <v>24076</v>
      </c>
      <c r="F17" s="28">
        <f t="shared" si="6"/>
        <v>0.28233693740178717</v>
      </c>
      <c r="G17" s="18">
        <v>28567</v>
      </c>
      <c r="H17" s="28">
        <f t="shared" si="7"/>
        <v>0.34326672354333643</v>
      </c>
      <c r="I17" s="18">
        <v>31721</v>
      </c>
      <c r="J17" s="123">
        <f t="shared" si="8"/>
        <v>0.33675170122190728</v>
      </c>
      <c r="K17" s="231">
        <v>105783</v>
      </c>
      <c r="L17" s="232">
        <f t="shared" si="9"/>
        <v>0.31272042498972707</v>
      </c>
      <c r="M17" s="8">
        <v>28918</v>
      </c>
      <c r="N17" s="123">
        <f t="shared" si="10"/>
        <v>0.3119155224299166</v>
      </c>
      <c r="O17" s="18">
        <v>31597</v>
      </c>
      <c r="P17" s="123">
        <f t="shared" si="11"/>
        <v>0.29490769259487409</v>
      </c>
      <c r="Q17" s="18">
        <v>42818</v>
      </c>
      <c r="R17" s="123">
        <f t="shared" si="12"/>
        <v>0.33614646056257314</v>
      </c>
      <c r="S17" s="18">
        <v>41833</v>
      </c>
      <c r="T17" s="123">
        <f t="shared" si="13"/>
        <v>0.3479617044991391</v>
      </c>
      <c r="U17" s="231">
        <v>145166</v>
      </c>
      <c r="V17" s="232">
        <f t="shared" si="14"/>
        <v>0.32442591992490866</v>
      </c>
      <c r="W17" s="18">
        <v>43080</v>
      </c>
      <c r="X17" s="123">
        <f t="shared" si="15"/>
        <v>0.34640806677280839</v>
      </c>
      <c r="Y17" s="18">
        <v>45815</v>
      </c>
      <c r="Z17" s="123">
        <f t="shared" si="16"/>
        <v>0.3607934857934858</v>
      </c>
      <c r="AA17" s="18">
        <v>54862</v>
      </c>
      <c r="AB17" s="123">
        <f t="shared" si="17"/>
        <v>0.40968389924801923</v>
      </c>
      <c r="AC17" s="18">
        <f t="shared" ref="AC17:AC23" si="19">AE17-W17-Y17-AA17</f>
        <v>60656</v>
      </c>
      <c r="AD17" s="123">
        <f t="shared" ref="AD17:AD21" si="20">AC17/$AC$16</f>
        <v>0.47115847690658547</v>
      </c>
      <c r="AE17" s="4">
        <v>204413</v>
      </c>
      <c r="AF17" s="232">
        <f t="shared" ref="AF17:AF21" si="21">AE17/$AE$16</f>
        <v>0.3976929826438676</v>
      </c>
      <c r="AG17" s="352">
        <f>AG5+AG41</f>
        <v>52592</v>
      </c>
      <c r="AH17" s="390">
        <f t="shared" si="18"/>
        <v>0.37429630842152462</v>
      </c>
      <c r="AI17" s="352">
        <v>56044</v>
      </c>
      <c r="AJ17" s="390">
        <f>AI17/AI$16</f>
        <v>0.37663472265157727</v>
      </c>
    </row>
    <row r="18" spans="1:37" s="229" customFormat="1" x14ac:dyDescent="0.35">
      <c r="A18" s="225" t="s">
        <v>632</v>
      </c>
      <c r="B18" s="118" t="s">
        <v>633</v>
      </c>
      <c r="C18" s="8">
        <v>29140</v>
      </c>
      <c r="D18" s="28">
        <f>C18/C$16</f>
        <v>0.38557724115117431</v>
      </c>
      <c r="E18" s="18">
        <v>30576</v>
      </c>
      <c r="F18" s="28">
        <f t="shared" si="6"/>
        <v>0.35856181251026104</v>
      </c>
      <c r="G18" s="18">
        <v>27851</v>
      </c>
      <c r="H18" s="28">
        <f t="shared" si="7"/>
        <v>0.33466312589370473</v>
      </c>
      <c r="I18" s="18">
        <v>31047</v>
      </c>
      <c r="J18" s="123">
        <f t="shared" si="8"/>
        <v>0.32959648396445745</v>
      </c>
      <c r="K18" s="231">
        <v>118614</v>
      </c>
      <c r="L18" s="232">
        <f t="shared" si="9"/>
        <v>0.35065199975167544</v>
      </c>
      <c r="M18" s="8">
        <v>34531</v>
      </c>
      <c r="N18" s="123">
        <f t="shared" si="10"/>
        <v>0.37245850007011033</v>
      </c>
      <c r="O18" s="18">
        <v>41759</v>
      </c>
      <c r="P18" s="123">
        <f t="shared" si="11"/>
        <v>0.38975378469694422</v>
      </c>
      <c r="Q18" s="18">
        <v>45388</v>
      </c>
      <c r="R18" s="123">
        <f t="shared" si="12"/>
        <v>0.35632247073693468</v>
      </c>
      <c r="S18" s="18">
        <v>40985</v>
      </c>
      <c r="T18" s="123">
        <f t="shared" si="13"/>
        <v>0.3409081456959151</v>
      </c>
      <c r="U18" s="231">
        <v>162663</v>
      </c>
      <c r="V18" s="232">
        <f t="shared" si="14"/>
        <v>0.36352929344850321</v>
      </c>
      <c r="W18" s="18">
        <v>44977</v>
      </c>
      <c r="X18" s="123">
        <f t="shared" si="15"/>
        <v>0.36166192245219603</v>
      </c>
      <c r="Y18" s="18">
        <v>44431</v>
      </c>
      <c r="Z18" s="123">
        <f t="shared" si="16"/>
        <v>0.34989447489447489</v>
      </c>
      <c r="AA18" s="18">
        <v>42330</v>
      </c>
      <c r="AB18" s="123">
        <f t="shared" si="17"/>
        <v>0.31610075198076365</v>
      </c>
      <c r="AC18" s="18">
        <f t="shared" si="19"/>
        <v>37587</v>
      </c>
      <c r="AD18" s="123">
        <f t="shared" si="20"/>
        <v>0.29196507635663127</v>
      </c>
      <c r="AE18" s="4">
        <v>169325</v>
      </c>
      <c r="AF18" s="232">
        <f t="shared" si="21"/>
        <v>0.32942799277038581</v>
      </c>
      <c r="AG18" s="352">
        <f t="shared" ref="AG18:AG23" si="22">AG6+AG42</f>
        <v>50935</v>
      </c>
      <c r="AH18" s="390">
        <f t="shared" si="18"/>
        <v>0.36250346952864232</v>
      </c>
      <c r="AI18" s="352">
        <v>53064</v>
      </c>
      <c r="AJ18" s="390">
        <f>AI18/AI$16</f>
        <v>0.35660811010604698</v>
      </c>
    </row>
    <row r="19" spans="1:37" s="229" customFormat="1" x14ac:dyDescent="0.35">
      <c r="A19" s="225" t="s">
        <v>634</v>
      </c>
      <c r="B19" s="118" t="s">
        <v>635</v>
      </c>
      <c r="C19" s="8">
        <v>-3053</v>
      </c>
      <c r="D19" s="28">
        <f t="shared" si="5"/>
        <v>-4.0396956665564011E-2</v>
      </c>
      <c r="E19" s="18">
        <v>5412</v>
      </c>
      <c r="F19" s="28">
        <f t="shared" si="6"/>
        <v>6.3466003705701615E-2</v>
      </c>
      <c r="G19" s="18">
        <v>3692</v>
      </c>
      <c r="H19" s="28">
        <f t="shared" si="7"/>
        <v>4.4363802405642805E-2</v>
      </c>
      <c r="I19" s="18">
        <v>5760</v>
      </c>
      <c r="J19" s="123">
        <f t="shared" si="8"/>
        <v>6.1148444217968723E-2</v>
      </c>
      <c r="K19" s="231">
        <v>11811</v>
      </c>
      <c r="L19" s="232">
        <f t="shared" si="9"/>
        <v>3.4916205246151709E-2</v>
      </c>
      <c r="M19" s="8">
        <v>-1381</v>
      </c>
      <c r="N19" s="123">
        <f t="shared" si="10"/>
        <v>-1.4895751313220653E-2</v>
      </c>
      <c r="O19" s="18">
        <v>4637</v>
      </c>
      <c r="P19" s="123">
        <f t="shared" si="11"/>
        <v>4.3279012898769856E-2</v>
      </c>
      <c r="Q19" s="18">
        <v>3384</v>
      </c>
      <c r="R19" s="123">
        <f t="shared" si="12"/>
        <v>2.6566388494178788E-2</v>
      </c>
      <c r="S19" s="18">
        <v>6718</v>
      </c>
      <c r="T19" s="123">
        <f t="shared" si="13"/>
        <v>5.5879490613276996E-2</v>
      </c>
      <c r="U19" s="231">
        <v>13358</v>
      </c>
      <c r="V19" s="232">
        <f t="shared" si="14"/>
        <v>2.9853281335553296E-2</v>
      </c>
      <c r="W19" s="18">
        <v>1771</v>
      </c>
      <c r="X19" s="123">
        <f t="shared" si="15"/>
        <v>1.4240684453450411E-2</v>
      </c>
      <c r="Y19" s="18">
        <v>6638</v>
      </c>
      <c r="Z19" s="123">
        <f t="shared" si="16"/>
        <v>5.2274302274302277E-2</v>
      </c>
      <c r="AA19" s="18">
        <v>3896</v>
      </c>
      <c r="AB19" s="123">
        <f t="shared" si="17"/>
        <v>2.9093515939453227E-2</v>
      </c>
      <c r="AC19" s="18">
        <f t="shared" si="19"/>
        <v>4477</v>
      </c>
      <c r="AD19" s="123">
        <f t="shared" si="20"/>
        <v>3.477605679752676E-2</v>
      </c>
      <c r="AE19" s="4">
        <v>16782</v>
      </c>
      <c r="AF19" s="232">
        <f t="shared" si="21"/>
        <v>3.2649996011649876E-2</v>
      </c>
      <c r="AG19" s="352">
        <f t="shared" si="22"/>
        <v>4931</v>
      </c>
      <c r="AH19" s="390">
        <f>AG19/AG$16</f>
        <v>3.5093837405433106E-2</v>
      </c>
      <c r="AI19" s="352">
        <v>4791</v>
      </c>
      <c r="AJ19" s="390">
        <f>AI19/AI$16</f>
        <v>3.2197147887797206E-2</v>
      </c>
    </row>
    <row r="20" spans="1:37" s="229" customFormat="1" x14ac:dyDescent="0.35">
      <c r="A20" s="225" t="s">
        <v>636</v>
      </c>
      <c r="B20" s="118" t="s">
        <v>636</v>
      </c>
      <c r="C20" s="8">
        <v>27240</v>
      </c>
      <c r="D20" s="28">
        <f t="shared" si="5"/>
        <v>0.36043665233212041</v>
      </c>
      <c r="E20" s="18">
        <v>24625</v>
      </c>
      <c r="F20" s="28">
        <f t="shared" si="6"/>
        <v>0.28877500762248753</v>
      </c>
      <c r="G20" s="18">
        <v>23044</v>
      </c>
      <c r="H20" s="28">
        <f t="shared" si="7"/>
        <v>0.27690126290239242</v>
      </c>
      <c r="I20" s="18">
        <v>25412</v>
      </c>
      <c r="J20" s="123">
        <f t="shared" si="8"/>
        <v>0.26977504591441342</v>
      </c>
      <c r="K20" s="231">
        <v>100321</v>
      </c>
      <c r="L20" s="232">
        <f t="shared" si="9"/>
        <v>0.29657341685709809</v>
      </c>
      <c r="M20" s="8">
        <v>29653</v>
      </c>
      <c r="N20" s="123">
        <f t="shared" si="10"/>
        <v>0.3198433842801825</v>
      </c>
      <c r="O20" s="18">
        <v>28659</v>
      </c>
      <c r="P20" s="123">
        <f t="shared" si="11"/>
        <v>0.26748613988911912</v>
      </c>
      <c r="Q20" s="18">
        <v>35130</v>
      </c>
      <c r="R20" s="123">
        <f t="shared" si="12"/>
        <v>0.27579114296705109</v>
      </c>
      <c r="S20" s="18">
        <v>30539</v>
      </c>
      <c r="T20" s="123">
        <f t="shared" si="13"/>
        <v>0.2540196135514835</v>
      </c>
      <c r="U20" s="231">
        <v>123981</v>
      </c>
      <c r="V20" s="232">
        <f t="shared" si="14"/>
        <v>0.27708037679766678</v>
      </c>
      <c r="W20" s="18">
        <v>33856</v>
      </c>
      <c r="X20" s="123">
        <f t="shared" si="15"/>
        <v>0.27223750020102605</v>
      </c>
      <c r="Y20" s="18">
        <v>29453</v>
      </c>
      <c r="Z20" s="123">
        <f t="shared" si="16"/>
        <v>0.23194260694260693</v>
      </c>
      <c r="AA20" s="18">
        <v>32162</v>
      </c>
      <c r="AB20" s="123">
        <f t="shared" si="17"/>
        <v>0.24017085719833026</v>
      </c>
      <c r="AC20" s="18">
        <f t="shared" si="19"/>
        <v>26275</v>
      </c>
      <c r="AD20" s="123">
        <f t="shared" si="20"/>
        <v>0.20409669250726281</v>
      </c>
      <c r="AE20" s="4">
        <v>121746</v>
      </c>
      <c r="AF20" s="232">
        <f t="shared" si="21"/>
        <v>0.23686130463796481</v>
      </c>
      <c r="AG20" s="352">
        <f t="shared" si="22"/>
        <v>32062</v>
      </c>
      <c r="AH20" s="390">
        <f t="shared" si="18"/>
        <v>0.2281846714445338</v>
      </c>
      <c r="AI20" s="352">
        <v>34841</v>
      </c>
      <c r="AJ20" s="390">
        <f>AI20/AI$16</f>
        <v>0.23414335828819505</v>
      </c>
    </row>
    <row r="21" spans="1:37" s="229" customFormat="1" x14ac:dyDescent="0.35">
      <c r="A21" s="225" t="s">
        <v>637</v>
      </c>
      <c r="B21" s="118" t="s">
        <v>638</v>
      </c>
      <c r="C21" s="8">
        <f>C16-(SUM(C17:C20))</f>
        <v>829</v>
      </c>
      <c r="D21" s="28">
        <f t="shared" si="5"/>
        <v>1.096923585841879E-2</v>
      </c>
      <c r="E21" s="18">
        <f>E16-(SUM(E17:E20))</f>
        <v>585</v>
      </c>
      <c r="F21" s="28">
        <f t="shared" si="6"/>
        <v>6.8602387597626472E-3</v>
      </c>
      <c r="G21" s="18">
        <f>G16-(SUM(G17:G20))</f>
        <v>67</v>
      </c>
      <c r="H21" s="123">
        <f t="shared" si="7"/>
        <v>8.0508525492363708E-4</v>
      </c>
      <c r="I21" s="18">
        <f>I16-(SUM(I17:I20))</f>
        <v>257</v>
      </c>
      <c r="J21" s="123">
        <f t="shared" si="8"/>
        <v>2.7283246812531184E-3</v>
      </c>
      <c r="K21" s="231">
        <f>K16-(SUM(K17:K20))</f>
        <v>1738</v>
      </c>
      <c r="L21" s="232">
        <f t="shared" si="9"/>
        <v>5.1379531553476989E-3</v>
      </c>
      <c r="M21" s="8">
        <f>M16-(SUM(M17:M20))</f>
        <v>990</v>
      </c>
      <c r="N21" s="123">
        <f t="shared" si="10"/>
        <v>1.0678344533011185E-2</v>
      </c>
      <c r="O21" s="18">
        <f>O16-(SUM(O17:O20))</f>
        <v>490</v>
      </c>
      <c r="P21" s="123">
        <f t="shared" si="11"/>
        <v>4.5733699202926961E-3</v>
      </c>
      <c r="Q21" s="18">
        <f>Q16-(SUM(Q17:Q20))</f>
        <v>659</v>
      </c>
      <c r="R21" s="123">
        <f t="shared" si="12"/>
        <v>5.1735372392623588E-3</v>
      </c>
      <c r="S21" s="18">
        <f>S16-(SUM(S17:S20))</f>
        <v>148</v>
      </c>
      <c r="T21" s="123">
        <f t="shared" si="13"/>
        <v>1.2310456401853223E-3</v>
      </c>
      <c r="U21" s="231">
        <f>U16-(SUM(U17:U20))</f>
        <v>2287</v>
      </c>
      <c r="V21" s="232">
        <f t="shared" si="14"/>
        <v>5.1111284933680482E-3</v>
      </c>
      <c r="W21" s="18">
        <f>W16-(SUM(W17:W20))</f>
        <v>678</v>
      </c>
      <c r="X21" s="123">
        <f t="shared" si="15"/>
        <v>5.4518261205191293E-3</v>
      </c>
      <c r="Y21" s="18">
        <f>Y16-(SUM(Y17:Y20))</f>
        <v>647</v>
      </c>
      <c r="Z21" s="123">
        <f t="shared" si="16"/>
        <v>5.0951300951300954E-3</v>
      </c>
      <c r="AA21" s="18">
        <f>AA16-(SUM(AA17:AA20))</f>
        <v>663</v>
      </c>
      <c r="AB21" s="123">
        <f t="shared" si="17"/>
        <v>4.9509756334336474E-3</v>
      </c>
      <c r="AC21" s="8">
        <f t="shared" si="19"/>
        <v>-257</v>
      </c>
      <c r="AD21" s="123">
        <f t="shared" si="20"/>
        <v>-1.9963025680063383E-3</v>
      </c>
      <c r="AE21" s="4">
        <v>1731</v>
      </c>
      <c r="AF21" s="232">
        <f t="shared" si="21"/>
        <v>3.3677239361319228E-3</v>
      </c>
      <c r="AG21" s="8">
        <f t="shared" si="22"/>
        <v>-11</v>
      </c>
      <c r="AH21" s="390">
        <f t="shared" si="18"/>
        <v>-7.8286800133799253E-5</v>
      </c>
      <c r="AI21" s="352">
        <v>62</v>
      </c>
      <c r="AJ21" s="390">
        <f>AI21/AI$16</f>
        <v>4.1666106638351633E-4</v>
      </c>
    </row>
    <row r="22" spans="1:37" s="229" customFormat="1" x14ac:dyDescent="0.35">
      <c r="A22" s="298" t="s">
        <v>639</v>
      </c>
      <c r="B22" s="298" t="s">
        <v>640</v>
      </c>
      <c r="C22" s="299">
        <v>2633</v>
      </c>
      <c r="D22" s="300"/>
      <c r="E22" s="301">
        <v>2959</v>
      </c>
      <c r="F22" s="300"/>
      <c r="G22" s="299">
        <v>2497</v>
      </c>
      <c r="H22" s="300"/>
      <c r="I22" s="299">
        <f>K22-C22-E22-G22</f>
        <v>2917</v>
      </c>
      <c r="J22" s="306"/>
      <c r="K22" s="302">
        <v>11006</v>
      </c>
      <c r="L22" s="303"/>
      <c r="M22" s="299">
        <v>3282</v>
      </c>
      <c r="N22" s="306"/>
      <c r="O22" s="299">
        <v>2896</v>
      </c>
      <c r="P22" s="306"/>
      <c r="Q22" s="299">
        <v>3294</v>
      </c>
      <c r="R22" s="306"/>
      <c r="S22" s="299">
        <f>U22-Q22-O22-M22</f>
        <v>3537</v>
      </c>
      <c r="T22" s="299"/>
      <c r="U22" s="305">
        <v>13009</v>
      </c>
      <c r="V22" s="307"/>
      <c r="W22" s="299">
        <v>3001</v>
      </c>
      <c r="X22" s="306"/>
      <c r="Y22" s="299">
        <v>1960</v>
      </c>
      <c r="Z22" s="306"/>
      <c r="AA22" s="299">
        <v>1106</v>
      </c>
      <c r="AB22" s="306"/>
      <c r="AC22" s="299">
        <f t="shared" si="19"/>
        <v>1260</v>
      </c>
      <c r="AD22" s="308"/>
      <c r="AE22" s="304">
        <v>7327</v>
      </c>
      <c r="AF22" s="309"/>
      <c r="AG22" s="391">
        <f t="shared" si="22"/>
        <v>1694</v>
      </c>
      <c r="AH22" s="391"/>
      <c r="AI22" s="391">
        <v>966</v>
      </c>
      <c r="AJ22" s="447"/>
    </row>
    <row r="23" spans="1:37" s="229" customFormat="1" x14ac:dyDescent="0.35">
      <c r="A23" s="298" t="s">
        <v>641</v>
      </c>
      <c r="B23" s="298" t="s">
        <v>642</v>
      </c>
      <c r="C23" s="299">
        <v>78208</v>
      </c>
      <c r="D23" s="300"/>
      <c r="E23" s="301">
        <v>88233</v>
      </c>
      <c r="F23" s="300"/>
      <c r="G23" s="299">
        <v>85718</v>
      </c>
      <c r="H23" s="300"/>
      <c r="I23" s="299">
        <f>K23-C23-E23-G23</f>
        <v>97114</v>
      </c>
      <c r="J23" s="306"/>
      <c r="K23" s="305">
        <v>349273</v>
      </c>
      <c r="L23" s="303"/>
      <c r="M23" s="299">
        <v>95993</v>
      </c>
      <c r="N23" s="306"/>
      <c r="O23" s="299">
        <v>110038</v>
      </c>
      <c r="P23" s="306"/>
      <c r="Q23" s="299">
        <v>130673</v>
      </c>
      <c r="R23" s="306"/>
      <c r="S23" s="299">
        <f>U23-Q23-O23-M23</f>
        <v>123760</v>
      </c>
      <c r="T23" s="299"/>
      <c r="U23" s="305">
        <v>460464</v>
      </c>
      <c r="V23" s="307"/>
      <c r="W23" s="299">
        <v>127363</v>
      </c>
      <c r="X23" s="306"/>
      <c r="Y23" s="299">
        <v>128944</v>
      </c>
      <c r="Z23" s="306"/>
      <c r="AA23" s="299">
        <v>135019</v>
      </c>
      <c r="AB23" s="306"/>
      <c r="AC23" s="299">
        <f t="shared" si="19"/>
        <v>129998</v>
      </c>
      <c r="AD23" s="308"/>
      <c r="AE23" s="304">
        <v>521324</v>
      </c>
      <c r="AF23" s="309"/>
      <c r="AG23" s="391">
        <f t="shared" si="22"/>
        <v>142203</v>
      </c>
      <c r="AH23" s="391"/>
      <c r="AI23" s="391">
        <f>AI16+AI22</f>
        <v>149768</v>
      </c>
      <c r="AJ23" s="447"/>
    </row>
    <row r="24" spans="1:37" s="229" customFormat="1" x14ac:dyDescent="0.35">
      <c r="E24" s="235"/>
      <c r="G24" s="239"/>
      <c r="O24" s="235"/>
      <c r="Q24" s="235"/>
      <c r="U24" s="235"/>
      <c r="Y24" s="235"/>
      <c r="AA24" s="235"/>
      <c r="AE24" s="235"/>
      <c r="AI24" s="235"/>
    </row>
    <row r="25" spans="1:37" s="229" customFormat="1" ht="15" thickBot="1" x14ac:dyDescent="0.4">
      <c r="A25" s="34"/>
      <c r="B25" s="34"/>
      <c r="J25" s="233"/>
      <c r="Q25" s="236"/>
      <c r="R25" s="237"/>
      <c r="T25" s="233"/>
      <c r="U25" s="236"/>
      <c r="V25" s="236"/>
    </row>
    <row r="26" spans="1:37" s="229" customFormat="1" ht="15" thickBot="1" x14ac:dyDescent="0.4">
      <c r="A26" s="503" t="s">
        <v>644</v>
      </c>
      <c r="B26" s="502" t="s">
        <v>645</v>
      </c>
      <c r="C26" s="496" t="s">
        <v>49</v>
      </c>
      <c r="D26" s="497"/>
      <c r="E26" s="496" t="s">
        <v>50</v>
      </c>
      <c r="F26" s="497"/>
      <c r="G26" s="496" t="s">
        <v>51</v>
      </c>
      <c r="H26" s="497"/>
      <c r="I26" s="496" t="s">
        <v>52</v>
      </c>
      <c r="J26" s="497"/>
      <c r="K26" s="496">
        <v>2021</v>
      </c>
      <c r="L26" s="497"/>
      <c r="M26" s="496" t="s">
        <v>53</v>
      </c>
      <c r="N26" s="497"/>
      <c r="O26" s="496" t="s">
        <v>54</v>
      </c>
      <c r="P26" s="497"/>
      <c r="Q26" s="496" t="s">
        <v>55</v>
      </c>
      <c r="R26" s="497"/>
      <c r="S26" s="496" t="s">
        <v>56</v>
      </c>
      <c r="T26" s="497"/>
      <c r="U26" s="496">
        <v>2022</v>
      </c>
      <c r="V26" s="497"/>
      <c r="W26" s="496" t="s">
        <v>57</v>
      </c>
      <c r="X26" s="497"/>
      <c r="Y26" s="496" t="s">
        <v>58</v>
      </c>
      <c r="Z26" s="497"/>
      <c r="AA26" s="496" t="s">
        <v>59</v>
      </c>
      <c r="AB26" s="497"/>
      <c r="AC26" s="496" t="s">
        <v>60</v>
      </c>
      <c r="AD26" s="497"/>
      <c r="AE26" s="498">
        <v>2023</v>
      </c>
      <c r="AF26" s="499"/>
      <c r="AG26" s="496" t="s">
        <v>61</v>
      </c>
      <c r="AH26" s="497"/>
      <c r="AI26" s="496" t="s">
        <v>1166</v>
      </c>
      <c r="AJ26" s="497"/>
    </row>
    <row r="27" spans="1:37" s="229" customFormat="1" ht="23.5" thickTop="1" x14ac:dyDescent="0.35">
      <c r="A27" s="503"/>
      <c r="B27" s="502"/>
      <c r="C27" s="230" t="s">
        <v>62</v>
      </c>
      <c r="D27" s="230" t="s">
        <v>627</v>
      </c>
      <c r="E27" s="230" t="s">
        <v>62</v>
      </c>
      <c r="F27" s="230" t="s">
        <v>627</v>
      </c>
      <c r="G27" s="230" t="s">
        <v>62</v>
      </c>
      <c r="H27" s="230" t="s">
        <v>627</v>
      </c>
      <c r="I27" s="230" t="s">
        <v>62</v>
      </c>
      <c r="J27" s="230" t="s">
        <v>627</v>
      </c>
      <c r="K27" s="230" t="s">
        <v>62</v>
      </c>
      <c r="L27" s="230" t="s">
        <v>627</v>
      </c>
      <c r="M27" s="230" t="s">
        <v>62</v>
      </c>
      <c r="N27" s="230" t="s">
        <v>627</v>
      </c>
      <c r="O27" s="230" t="s">
        <v>62</v>
      </c>
      <c r="P27" s="230" t="s">
        <v>627</v>
      </c>
      <c r="Q27" s="230" t="s">
        <v>62</v>
      </c>
      <c r="R27" s="230" t="s">
        <v>627</v>
      </c>
      <c r="S27" s="230" t="s">
        <v>62</v>
      </c>
      <c r="T27" s="230" t="s">
        <v>627</v>
      </c>
      <c r="U27" s="230" t="s">
        <v>62</v>
      </c>
      <c r="V27" s="230" t="s">
        <v>627</v>
      </c>
      <c r="W27" s="230" t="s">
        <v>62</v>
      </c>
      <c r="X27" s="230" t="s">
        <v>627</v>
      </c>
      <c r="Y27" s="230" t="s">
        <v>62</v>
      </c>
      <c r="Z27" s="230" t="s">
        <v>627</v>
      </c>
      <c r="AA27" s="230" t="s">
        <v>62</v>
      </c>
      <c r="AB27" s="230" t="s">
        <v>627</v>
      </c>
      <c r="AC27" s="230" t="s">
        <v>62</v>
      </c>
      <c r="AD27" s="230" t="s">
        <v>627</v>
      </c>
      <c r="AE27" s="230" t="s">
        <v>62</v>
      </c>
      <c r="AF27" s="230" t="s">
        <v>627</v>
      </c>
      <c r="AG27" s="230" t="s">
        <v>62</v>
      </c>
      <c r="AH27" s="230" t="s">
        <v>627</v>
      </c>
      <c r="AI27" s="230" t="s">
        <v>62</v>
      </c>
      <c r="AJ27" s="230" t="s">
        <v>627</v>
      </c>
    </row>
    <row r="28" spans="1:37" s="229" customFormat="1" x14ac:dyDescent="0.35">
      <c r="A28" s="286" t="s">
        <v>643</v>
      </c>
      <c r="B28" s="286" t="s">
        <v>629</v>
      </c>
      <c r="C28" s="289">
        <v>24684</v>
      </c>
      <c r="D28" s="288">
        <f t="shared" ref="D28:D33" si="23">C28/C$28</f>
        <v>1</v>
      </c>
      <c r="E28" s="289">
        <v>35934</v>
      </c>
      <c r="F28" s="288">
        <f t="shared" ref="F28:F33" si="24">E28/E$28</f>
        <v>1</v>
      </c>
      <c r="G28" s="289">
        <v>34894</v>
      </c>
      <c r="H28" s="288">
        <f t="shared" ref="H28:H33" si="25">G28/G$28</f>
        <v>1</v>
      </c>
      <c r="I28" s="287">
        <v>47319</v>
      </c>
      <c r="J28" s="288">
        <f t="shared" ref="J28:J33" si="26">I28/I$28</f>
        <v>1</v>
      </c>
      <c r="K28" s="291">
        <v>142831</v>
      </c>
      <c r="L28" s="294">
        <f t="shared" ref="L28:L33" si="27">K28/K$28</f>
        <v>1</v>
      </c>
      <c r="M28" s="289">
        <v>36847</v>
      </c>
      <c r="N28" s="288">
        <f t="shared" ref="N28:N33" si="28">M28/M$28</f>
        <v>1</v>
      </c>
      <c r="O28" s="289">
        <v>53731</v>
      </c>
      <c r="P28" s="288">
        <f t="shared" ref="P28:P33" si="29">O28/O$28</f>
        <v>1</v>
      </c>
      <c r="Q28" s="289">
        <v>65327</v>
      </c>
      <c r="R28" s="288">
        <f t="shared" ref="R28:R33" si="30">Q28/Q$28</f>
        <v>1</v>
      </c>
      <c r="S28" s="295">
        <v>50228</v>
      </c>
      <c r="T28" s="288">
        <f t="shared" ref="T28:T33" si="31">S28/S$28</f>
        <v>1</v>
      </c>
      <c r="U28" s="291">
        <v>206133</v>
      </c>
      <c r="V28" s="294">
        <f>U28/U$28</f>
        <v>1</v>
      </c>
      <c r="W28" s="287">
        <v>59134</v>
      </c>
      <c r="X28" s="288">
        <f t="shared" ref="X28:X33" si="32">W28/W$28</f>
        <v>1</v>
      </c>
      <c r="Y28" s="287">
        <v>53033</v>
      </c>
      <c r="Z28" s="288">
        <f t="shared" ref="Z28:Z33" si="33">Y28/Y$28</f>
        <v>1</v>
      </c>
      <c r="AA28" s="287">
        <v>64823</v>
      </c>
      <c r="AB28" s="288">
        <f t="shared" ref="AB28:AB33" si="34">AA28/AA$28</f>
        <v>1</v>
      </c>
      <c r="AC28" s="289">
        <f>AE28-W28-Y28-AA28</f>
        <v>59353</v>
      </c>
      <c r="AD28" s="288">
        <f>AC28/$AC$28</f>
        <v>1</v>
      </c>
      <c r="AE28" s="293">
        <v>236343</v>
      </c>
      <c r="AF28" s="292">
        <f>AE28/$AE$28</f>
        <v>1</v>
      </c>
      <c r="AG28" s="388">
        <f>SUM(AG29:AG33)</f>
        <v>64394</v>
      </c>
      <c r="AH28" s="389">
        <f t="shared" ref="AH28:AH33" si="35">AG28/AG$28</f>
        <v>1</v>
      </c>
      <c r="AI28" s="388">
        <f>SUM(AI29:AI33)</f>
        <v>71248</v>
      </c>
      <c r="AJ28" s="288">
        <f>AI28/AI$28</f>
        <v>1</v>
      </c>
    </row>
    <row r="29" spans="1:37" s="229" customFormat="1" x14ac:dyDescent="0.35">
      <c r="A29" s="118" t="s">
        <v>630</v>
      </c>
      <c r="B29" s="118" t="s">
        <v>631</v>
      </c>
      <c r="C29" s="8">
        <v>16734</v>
      </c>
      <c r="D29" s="28">
        <f t="shared" si="23"/>
        <v>0.67792902284880896</v>
      </c>
      <c r="E29" s="8">
        <v>19224</v>
      </c>
      <c r="F29" s="28">
        <f t="shared" si="24"/>
        <v>0.53498079812990484</v>
      </c>
      <c r="G29" s="8">
        <v>23190</v>
      </c>
      <c r="H29" s="28">
        <f t="shared" si="25"/>
        <v>0.66458416919814289</v>
      </c>
      <c r="I29" s="18">
        <v>26270</v>
      </c>
      <c r="J29" s="28">
        <f t="shared" si="26"/>
        <v>0.55516811428812951</v>
      </c>
      <c r="K29" s="231">
        <v>85418</v>
      </c>
      <c r="L29" s="240">
        <f t="shared" si="27"/>
        <v>0.59803544048560886</v>
      </c>
      <c r="M29" s="8">
        <v>23648</v>
      </c>
      <c r="N29" s="28">
        <f t="shared" si="28"/>
        <v>0.64178901945884337</v>
      </c>
      <c r="O29" s="8">
        <v>33847</v>
      </c>
      <c r="P29" s="28">
        <f t="shared" si="29"/>
        <v>0.62993430235804282</v>
      </c>
      <c r="Q29" s="8">
        <v>36353</v>
      </c>
      <c r="R29" s="28">
        <f t="shared" si="30"/>
        <v>0.55647741362683112</v>
      </c>
      <c r="S29" s="18">
        <v>36004</v>
      </c>
      <c r="T29" s="28">
        <f t="shared" si="31"/>
        <v>0.71681134028828541</v>
      </c>
      <c r="U29" s="231">
        <v>129852</v>
      </c>
      <c r="V29" s="240">
        <f>U29/U$28</f>
        <v>0.62994280391785884</v>
      </c>
      <c r="W29" s="18">
        <v>36462</v>
      </c>
      <c r="X29" s="28">
        <f t="shared" si="32"/>
        <v>0.61659958737781984</v>
      </c>
      <c r="Y29" s="18">
        <v>38012.34237405505</v>
      </c>
      <c r="Z29" s="28">
        <f t="shared" si="33"/>
        <v>0.7167677177239653</v>
      </c>
      <c r="AA29" s="18">
        <v>47133.65762594495</v>
      </c>
      <c r="AB29" s="28">
        <f t="shared" si="34"/>
        <v>0.72711317936449948</v>
      </c>
      <c r="AC29" s="8">
        <f>AE29-W29-Y29-AA29</f>
        <v>53279</v>
      </c>
      <c r="AD29" s="28">
        <f t="shared" ref="AD29:AD33" si="36">AC29/$AC$28</f>
        <v>0.89766313412969856</v>
      </c>
      <c r="AE29" s="4">
        <v>174887</v>
      </c>
      <c r="AF29" s="232">
        <f t="shared" ref="AF29:AF33" si="37">AE29/$AE$28</f>
        <v>0.73997114363446348</v>
      </c>
      <c r="AG29" s="352">
        <v>42740</v>
      </c>
      <c r="AH29" s="390">
        <f t="shared" si="35"/>
        <v>0.66372643413982668</v>
      </c>
      <c r="AI29" s="352">
        <v>46127</v>
      </c>
      <c r="AJ29" s="28">
        <f t="shared" ref="AJ29:AJ33" si="38">AI29/AI$28</f>
        <v>0.64741466427127781</v>
      </c>
      <c r="AK29" s="233"/>
    </row>
    <row r="30" spans="1:37" s="229" customFormat="1" x14ac:dyDescent="0.35">
      <c r="A30" s="118" t="s">
        <v>632</v>
      </c>
      <c r="B30" s="118" t="s">
        <v>633</v>
      </c>
      <c r="C30" s="8">
        <v>7207</v>
      </c>
      <c r="D30" s="28">
        <f t="shared" si="23"/>
        <v>0.29197050721114892</v>
      </c>
      <c r="E30" s="8">
        <v>8159</v>
      </c>
      <c r="F30" s="28">
        <f t="shared" si="24"/>
        <v>0.22705515667612847</v>
      </c>
      <c r="G30" s="8">
        <v>6863</v>
      </c>
      <c r="H30" s="28">
        <f t="shared" si="25"/>
        <v>0.19668137788731588</v>
      </c>
      <c r="I30" s="18">
        <v>9528</v>
      </c>
      <c r="J30" s="28">
        <f t="shared" si="26"/>
        <v>0.20135674887465924</v>
      </c>
      <c r="K30" s="231">
        <v>31757</v>
      </c>
      <c r="L30" s="240">
        <f t="shared" si="27"/>
        <v>0.22233968816293381</v>
      </c>
      <c r="M30" s="8">
        <v>9260</v>
      </c>
      <c r="N30" s="28">
        <f t="shared" si="28"/>
        <v>0.25130946888484818</v>
      </c>
      <c r="O30" s="8">
        <v>13437</v>
      </c>
      <c r="P30" s="28">
        <f t="shared" si="29"/>
        <v>0.25007909772756881</v>
      </c>
      <c r="Q30" s="8">
        <v>16479</v>
      </c>
      <c r="R30" s="28">
        <f t="shared" si="30"/>
        <v>0.25225404503497789</v>
      </c>
      <c r="S30" s="18">
        <v>6720</v>
      </c>
      <c r="T30" s="28">
        <f t="shared" si="31"/>
        <v>0.13378991797403839</v>
      </c>
      <c r="U30" s="231">
        <v>45896</v>
      </c>
      <c r="V30" s="240">
        <f>U30/U$28</f>
        <v>0.22265236522051296</v>
      </c>
      <c r="W30" s="18">
        <v>14743</v>
      </c>
      <c r="X30" s="28">
        <f t="shared" si="32"/>
        <v>0.24931511482395916</v>
      </c>
      <c r="Y30" s="18">
        <v>10212.369496220206</v>
      </c>
      <c r="Z30" s="28">
        <f t="shared" si="33"/>
        <v>0.19256631712745284</v>
      </c>
      <c r="AA30" s="18">
        <v>7910.6305037797938</v>
      </c>
      <c r="AB30" s="28">
        <f t="shared" si="34"/>
        <v>0.12203431658176564</v>
      </c>
      <c r="AC30" s="8">
        <f>AE30-W30-Y30-AA30</f>
        <v>6562</v>
      </c>
      <c r="AD30" s="28">
        <f t="shared" si="36"/>
        <v>0.11055885970380604</v>
      </c>
      <c r="AE30" s="4">
        <v>39428</v>
      </c>
      <c r="AF30" s="232">
        <f t="shared" si="37"/>
        <v>0.16682533436573116</v>
      </c>
      <c r="AG30" s="352">
        <v>16806</v>
      </c>
      <c r="AH30" s="390">
        <f t="shared" si="35"/>
        <v>0.26098704848277787</v>
      </c>
      <c r="AI30" s="352">
        <v>18180</v>
      </c>
      <c r="AJ30" s="28">
        <f t="shared" si="38"/>
        <v>0.25516505726476535</v>
      </c>
    </row>
    <row r="31" spans="1:37" s="229" customFormat="1" x14ac:dyDescent="0.35">
      <c r="A31" s="118" t="s">
        <v>634</v>
      </c>
      <c r="B31" s="118" t="s">
        <v>635</v>
      </c>
      <c r="C31" s="8">
        <v>-9532</v>
      </c>
      <c r="D31" s="28">
        <f t="shared" si="23"/>
        <v>-0.3861610760006482</v>
      </c>
      <c r="E31" s="8">
        <v>-1866</v>
      </c>
      <c r="F31" s="28">
        <f t="shared" si="24"/>
        <v>-5.1928535648689267E-2</v>
      </c>
      <c r="G31" s="8">
        <v>-2290</v>
      </c>
      <c r="H31" s="28">
        <f t="shared" si="25"/>
        <v>-6.5627328480541064E-2</v>
      </c>
      <c r="I31" s="8">
        <v>2323</v>
      </c>
      <c r="J31" s="28">
        <f t="shared" si="26"/>
        <v>4.9092330776220966E-2</v>
      </c>
      <c r="K31" s="241">
        <v>-11365</v>
      </c>
      <c r="L31" s="240">
        <f t="shared" si="27"/>
        <v>-7.956956122970503E-2</v>
      </c>
      <c r="M31" s="8">
        <v>-9644</v>
      </c>
      <c r="N31" s="28">
        <f t="shared" si="28"/>
        <v>-0.26173094146063453</v>
      </c>
      <c r="O31" s="8">
        <v>-4501</v>
      </c>
      <c r="P31" s="28">
        <f t="shared" si="29"/>
        <v>-8.3769146302879155E-2</v>
      </c>
      <c r="Q31" s="8">
        <v>-4770</v>
      </c>
      <c r="R31" s="28">
        <f t="shared" si="30"/>
        <v>-7.3017282287568694E-2</v>
      </c>
      <c r="S31" s="8">
        <v>-1295</v>
      </c>
      <c r="T31" s="28">
        <f t="shared" si="31"/>
        <v>-2.5782432109580315E-2</v>
      </c>
      <c r="U31" s="241">
        <v>-20210</v>
      </c>
      <c r="V31" s="240">
        <f>U31/U$28</f>
        <v>-9.8043496189353471E-2</v>
      </c>
      <c r="W31" s="8">
        <v>-6370</v>
      </c>
      <c r="X31" s="28">
        <f t="shared" si="32"/>
        <v>-0.10772144620691988</v>
      </c>
      <c r="Y31" s="8">
        <v>-3694.4480350856938</v>
      </c>
      <c r="Z31" s="28">
        <f t="shared" si="33"/>
        <v>-6.9663191505019401E-2</v>
      </c>
      <c r="AA31" s="8">
        <v>-5300.5519649143062</v>
      </c>
      <c r="AB31" s="28">
        <f t="shared" si="34"/>
        <v>-8.1769618266885308E-2</v>
      </c>
      <c r="AC31" s="8">
        <f t="shared" ref="AC31:AC33" si="39">AE31-W31-Y31-AA31</f>
        <v>-5310</v>
      </c>
      <c r="AD31" s="28">
        <f t="shared" si="36"/>
        <v>-8.9464727983421227E-2</v>
      </c>
      <c r="AE31" s="149">
        <v>-20675</v>
      </c>
      <c r="AF31" s="232">
        <f t="shared" si="37"/>
        <v>-8.7478791417558377E-2</v>
      </c>
      <c r="AG31" s="347">
        <v>-5441</v>
      </c>
      <c r="AH31" s="390">
        <f t="shared" si="35"/>
        <v>-8.4495449886635404E-2</v>
      </c>
      <c r="AI31" s="347">
        <v>-5138</v>
      </c>
      <c r="AJ31" s="28">
        <f>AI31/AI$28</f>
        <v>-7.2114304962946324E-2</v>
      </c>
    </row>
    <row r="32" spans="1:37" s="229" customFormat="1" x14ac:dyDescent="0.35">
      <c r="A32" s="118" t="s">
        <v>636</v>
      </c>
      <c r="B32" s="118" t="s">
        <v>636</v>
      </c>
      <c r="C32" s="8">
        <v>9887</v>
      </c>
      <c r="D32" s="28">
        <f t="shared" si="23"/>
        <v>0.40054286177280829</v>
      </c>
      <c r="E32" s="8">
        <v>10237</v>
      </c>
      <c r="F32" s="28">
        <f t="shared" si="24"/>
        <v>0.28488339733956697</v>
      </c>
      <c r="G32" s="8">
        <v>7550</v>
      </c>
      <c r="H32" s="28">
        <f t="shared" si="25"/>
        <v>0.21636957643147819</v>
      </c>
      <c r="I32" s="18">
        <v>9178</v>
      </c>
      <c r="J32" s="28">
        <f t="shared" si="26"/>
        <v>0.19396014286016189</v>
      </c>
      <c r="K32" s="231">
        <v>36852</v>
      </c>
      <c r="L32" s="240">
        <f t="shared" si="27"/>
        <v>0.25801121605253763</v>
      </c>
      <c r="M32" s="8">
        <v>13222</v>
      </c>
      <c r="N32" s="28">
        <f t="shared" si="28"/>
        <v>0.3588351833256439</v>
      </c>
      <c r="O32" s="8">
        <v>11028</v>
      </c>
      <c r="P32" s="28">
        <f t="shared" si="29"/>
        <v>0.20524464461856284</v>
      </c>
      <c r="Q32" s="8">
        <v>17059</v>
      </c>
      <c r="R32" s="28">
        <f t="shared" si="30"/>
        <v>0.26113245671774304</v>
      </c>
      <c r="S32" s="8">
        <v>9009</v>
      </c>
      <c r="T32" s="28">
        <f t="shared" si="31"/>
        <v>0.17936210878394521</v>
      </c>
      <c r="U32" s="231">
        <v>50318</v>
      </c>
      <c r="V32" s="240">
        <f>U32/U$28</f>
        <v>0.24410453445105829</v>
      </c>
      <c r="W32" s="18">
        <v>14224</v>
      </c>
      <c r="X32" s="28">
        <f t="shared" si="32"/>
        <v>0.24053843812358372</v>
      </c>
      <c r="Y32" s="18">
        <v>8484.6313693808042</v>
      </c>
      <c r="Z32" s="28">
        <f t="shared" si="33"/>
        <v>0.15998776930177067</v>
      </c>
      <c r="AA32" s="18">
        <v>14828.368630619196</v>
      </c>
      <c r="AB32" s="28">
        <f t="shared" si="34"/>
        <v>0.22875165652035845</v>
      </c>
      <c r="AC32" s="8">
        <f>AE32-W32-Y32-AA32</f>
        <v>5782</v>
      </c>
      <c r="AD32" s="28">
        <f t="shared" si="36"/>
        <v>9.7417148248614222E-2</v>
      </c>
      <c r="AE32" s="4">
        <v>43319</v>
      </c>
      <c r="AF32" s="232">
        <f t="shared" si="37"/>
        <v>0.18328869482066318</v>
      </c>
      <c r="AG32" s="352">
        <v>11008</v>
      </c>
      <c r="AH32" s="390">
        <f t="shared" si="35"/>
        <v>0.17094760381401994</v>
      </c>
      <c r="AI32" s="352">
        <v>12785</v>
      </c>
      <c r="AJ32" s="28">
        <f t="shared" si="38"/>
        <v>0.17944363350550191</v>
      </c>
    </row>
    <row r="33" spans="1:37" s="229" customFormat="1" x14ac:dyDescent="0.35">
      <c r="A33" s="118" t="s">
        <v>637</v>
      </c>
      <c r="B33" s="118" t="s">
        <v>638</v>
      </c>
      <c r="C33" s="8">
        <f>C28-(SUM(C29:C32))</f>
        <v>388</v>
      </c>
      <c r="D33" s="28">
        <f t="shared" si="23"/>
        <v>1.5718684167882028E-2</v>
      </c>
      <c r="E33" s="8">
        <f>E28-(SUM(E29:E32))</f>
        <v>180</v>
      </c>
      <c r="F33" s="28">
        <f t="shared" si="24"/>
        <v>5.0091835030889962E-3</v>
      </c>
      <c r="G33" s="8">
        <f>G28-(SUM(G29:G32))</f>
        <v>-419</v>
      </c>
      <c r="H33" s="28">
        <f t="shared" si="25"/>
        <v>-1.2007795036395942E-2</v>
      </c>
      <c r="I33" s="18">
        <f>I28-(SUM(I29:I32))</f>
        <v>20</v>
      </c>
      <c r="J33" s="28">
        <f t="shared" si="26"/>
        <v>4.2266320082841985E-4</v>
      </c>
      <c r="K33" s="231">
        <f>K28-(SUM(K29:K32))</f>
        <v>169</v>
      </c>
      <c r="L33" s="240">
        <f t="shared" si="27"/>
        <v>1.1832165286247383E-3</v>
      </c>
      <c r="M33" s="8">
        <f>M28-(SUM(M29:M32))</f>
        <v>361</v>
      </c>
      <c r="N33" s="28">
        <f t="shared" si="28"/>
        <v>9.7972697912991555E-3</v>
      </c>
      <c r="O33" s="8">
        <f>O28-(SUM(O29:O32))</f>
        <v>-80</v>
      </c>
      <c r="P33" s="28">
        <f t="shared" si="29"/>
        <v>-1.4888984012953416E-3</v>
      </c>
      <c r="Q33" s="8">
        <f>Q28-(SUM(Q29:Q32))</f>
        <v>206</v>
      </c>
      <c r="R33" s="28">
        <f t="shared" si="30"/>
        <v>3.1533669080165932E-3</v>
      </c>
      <c r="S33" s="8">
        <f>S28-(SUM(S29:S32))</f>
        <v>-210</v>
      </c>
      <c r="T33" s="28">
        <f t="shared" si="31"/>
        <v>-4.1809349366886996E-3</v>
      </c>
      <c r="U33" s="231">
        <f>U28-(SUM(U29:U32))</f>
        <v>277</v>
      </c>
      <c r="V33" s="240">
        <f t="shared" ref="V33" si="40">U33/U$28</f>
        <v>1.3437925999233505E-3</v>
      </c>
      <c r="W33" s="18">
        <f>W28-(SUM(W29:W32))</f>
        <v>75</v>
      </c>
      <c r="X33" s="28">
        <f t="shared" si="32"/>
        <v>1.2683058815571415E-3</v>
      </c>
      <c r="Y33" s="18">
        <f>Y28-(SUM(Y29:Y32))</f>
        <v>18.104795429637306</v>
      </c>
      <c r="Z33" s="28">
        <f t="shared" si="33"/>
        <v>3.413873518306961E-4</v>
      </c>
      <c r="AA33" s="18">
        <f>AA28-(SUM(AA29:AA32))</f>
        <v>250.89520457036269</v>
      </c>
      <c r="AB33" s="28">
        <f t="shared" si="34"/>
        <v>3.8704658002616773E-3</v>
      </c>
      <c r="AC33" s="8">
        <f t="shared" si="39"/>
        <v>-960</v>
      </c>
      <c r="AD33" s="28">
        <f t="shared" si="36"/>
        <v>-1.6174414098697621E-2</v>
      </c>
      <c r="AE33" s="149">
        <v>-616</v>
      </c>
      <c r="AF33" s="232">
        <f t="shared" si="37"/>
        <v>-2.6063814032994421E-3</v>
      </c>
      <c r="AG33" s="8">
        <v>-719</v>
      </c>
      <c r="AH33" s="390">
        <f t="shared" si="35"/>
        <v>-1.116563654998913E-2</v>
      </c>
      <c r="AI33" s="8">
        <v>-706</v>
      </c>
      <c r="AJ33" s="28">
        <f t="shared" si="38"/>
        <v>-9.9090500785986978E-3</v>
      </c>
    </row>
    <row r="34" spans="1:37" s="229" customFormat="1" x14ac:dyDescent="0.35">
      <c r="A34" s="298" t="s">
        <v>639</v>
      </c>
      <c r="B34" s="298" t="s">
        <v>640</v>
      </c>
      <c r="C34" s="301">
        <v>-387</v>
      </c>
      <c r="D34" s="300"/>
      <c r="E34" s="301">
        <v>60</v>
      </c>
      <c r="F34" s="300"/>
      <c r="G34" s="299">
        <v>53</v>
      </c>
      <c r="H34" s="300"/>
      <c r="I34" s="301">
        <v>-24</v>
      </c>
      <c r="J34" s="306"/>
      <c r="K34" s="302">
        <v>-298</v>
      </c>
      <c r="L34" s="307"/>
      <c r="M34" s="299">
        <v>161</v>
      </c>
      <c r="N34" s="306"/>
      <c r="O34" s="301">
        <v>-129</v>
      </c>
      <c r="P34" s="301"/>
      <c r="Q34" s="301">
        <v>-265</v>
      </c>
      <c r="R34" s="306"/>
      <c r="S34" s="301">
        <v>65</v>
      </c>
      <c r="T34" s="306"/>
      <c r="U34" s="302">
        <v>-232</v>
      </c>
      <c r="V34" s="307"/>
      <c r="W34" s="301">
        <v>-266</v>
      </c>
      <c r="X34" s="306"/>
      <c r="Y34" s="301">
        <v>-718</v>
      </c>
      <c r="Z34" s="306"/>
      <c r="AA34" s="301">
        <v>-1786</v>
      </c>
      <c r="AB34" s="306"/>
      <c r="AC34" s="301">
        <f>AE34-W34-Y34-AA34</f>
        <v>1762</v>
      </c>
      <c r="AD34" s="308"/>
      <c r="AE34" s="310">
        <v>-1008</v>
      </c>
      <c r="AF34" s="307"/>
      <c r="AG34" s="391">
        <v>631</v>
      </c>
      <c r="AH34" s="391"/>
      <c r="AI34" s="449">
        <v>-321</v>
      </c>
      <c r="AJ34" s="447"/>
    </row>
    <row r="35" spans="1:37" s="229" customFormat="1" x14ac:dyDescent="0.35">
      <c r="A35" s="298" t="s">
        <v>641</v>
      </c>
      <c r="B35" s="298" t="s">
        <v>642</v>
      </c>
      <c r="C35" s="299">
        <v>24297</v>
      </c>
      <c r="D35" s="300"/>
      <c r="E35" s="301">
        <v>35994</v>
      </c>
      <c r="F35" s="300"/>
      <c r="G35" s="299">
        <v>34947</v>
      </c>
      <c r="H35" s="300"/>
      <c r="I35" s="299">
        <v>47295</v>
      </c>
      <c r="J35" s="306"/>
      <c r="K35" s="302">
        <v>142533</v>
      </c>
      <c r="L35" s="307"/>
      <c r="M35" s="299">
        <v>37008</v>
      </c>
      <c r="N35" s="306"/>
      <c r="O35" s="299">
        <v>53280</v>
      </c>
      <c r="P35" s="306"/>
      <c r="Q35" s="299">
        <v>65320</v>
      </c>
      <c r="R35" s="306"/>
      <c r="S35" s="299">
        <v>50293</v>
      </c>
      <c r="T35" s="306"/>
      <c r="U35" s="302">
        <v>205901</v>
      </c>
      <c r="V35" s="307"/>
      <c r="W35" s="299">
        <v>58868</v>
      </c>
      <c r="X35" s="306"/>
      <c r="Y35" s="299">
        <v>52315</v>
      </c>
      <c r="Z35" s="306"/>
      <c r="AA35" s="299">
        <v>65005</v>
      </c>
      <c r="AB35" s="306"/>
      <c r="AC35" s="301">
        <f>AE35-W35-Y35-AA35</f>
        <v>59147</v>
      </c>
      <c r="AD35" s="308"/>
      <c r="AE35" s="304">
        <v>235335</v>
      </c>
      <c r="AF35" s="307"/>
      <c r="AG35" s="391">
        <f>AG28+AG34</f>
        <v>65025</v>
      </c>
      <c r="AH35" s="391"/>
      <c r="AI35" s="391">
        <f>AI34+AI28</f>
        <v>70927</v>
      </c>
      <c r="AJ35" s="447"/>
    </row>
    <row r="36" spans="1:37" s="229" customFormat="1" x14ac:dyDescent="0.35">
      <c r="O36" s="235"/>
      <c r="Q36" s="235"/>
      <c r="U36" s="235"/>
      <c r="Y36" s="235"/>
      <c r="AA36" s="235"/>
      <c r="AB36" s="235"/>
      <c r="AI36" s="235"/>
    </row>
    <row r="37" spans="1:37" s="229" customFormat="1" ht="15" thickBot="1" x14ac:dyDescent="0.4">
      <c r="O37" s="235"/>
      <c r="Q37" s="235"/>
      <c r="U37" s="235"/>
      <c r="Y37" s="235"/>
      <c r="AA37" s="235"/>
      <c r="AB37" s="235"/>
      <c r="AI37" s="235"/>
    </row>
    <row r="38" spans="1:37" s="229" customFormat="1" ht="15" thickBot="1" x14ac:dyDescent="0.4">
      <c r="A38" s="503" t="s">
        <v>646</v>
      </c>
      <c r="B38" s="502" t="s">
        <v>164</v>
      </c>
      <c r="C38" s="496" t="s">
        <v>49</v>
      </c>
      <c r="D38" s="497"/>
      <c r="E38" s="496" t="s">
        <v>50</v>
      </c>
      <c r="F38" s="497"/>
      <c r="G38" s="496" t="s">
        <v>51</v>
      </c>
      <c r="H38" s="497"/>
      <c r="I38" s="496" t="s">
        <v>52</v>
      </c>
      <c r="J38" s="497"/>
      <c r="K38" s="496">
        <v>2021</v>
      </c>
      <c r="L38" s="497"/>
      <c r="M38" s="496" t="s">
        <v>53</v>
      </c>
      <c r="N38" s="497"/>
      <c r="O38" s="496" t="s">
        <v>54</v>
      </c>
      <c r="P38" s="497"/>
      <c r="Q38" s="496" t="s">
        <v>55</v>
      </c>
      <c r="R38" s="497"/>
      <c r="S38" s="496" t="s">
        <v>56</v>
      </c>
      <c r="T38" s="497"/>
      <c r="U38" s="496">
        <v>2022</v>
      </c>
      <c r="V38" s="497"/>
      <c r="W38" s="496" t="s">
        <v>57</v>
      </c>
      <c r="X38" s="497"/>
      <c r="Y38" s="496" t="s">
        <v>58</v>
      </c>
      <c r="Z38" s="497"/>
      <c r="AA38" s="496" t="s">
        <v>59</v>
      </c>
      <c r="AB38" s="497"/>
      <c r="AC38" s="496" t="s">
        <v>60</v>
      </c>
      <c r="AD38" s="497"/>
      <c r="AE38" s="498">
        <v>2023</v>
      </c>
      <c r="AF38" s="499"/>
      <c r="AG38" s="496" t="s">
        <v>61</v>
      </c>
      <c r="AH38" s="497"/>
      <c r="AI38" s="496" t="s">
        <v>1166</v>
      </c>
      <c r="AJ38" s="497"/>
    </row>
    <row r="39" spans="1:37" s="229" customFormat="1" ht="23.5" thickTop="1" x14ac:dyDescent="0.35">
      <c r="A39" s="503"/>
      <c r="B39" s="502"/>
      <c r="C39" s="230" t="s">
        <v>62</v>
      </c>
      <c r="D39" s="230" t="s">
        <v>627</v>
      </c>
      <c r="E39" s="230" t="s">
        <v>62</v>
      </c>
      <c r="F39" s="230" t="s">
        <v>627</v>
      </c>
      <c r="G39" s="230" t="s">
        <v>62</v>
      </c>
      <c r="H39" s="230" t="s">
        <v>627</v>
      </c>
      <c r="I39" s="230" t="s">
        <v>62</v>
      </c>
      <c r="J39" s="230" t="s">
        <v>627</v>
      </c>
      <c r="K39" s="230" t="s">
        <v>62</v>
      </c>
      <c r="L39" s="230" t="s">
        <v>627</v>
      </c>
      <c r="M39" s="230" t="s">
        <v>62</v>
      </c>
      <c r="N39" s="230" t="s">
        <v>627</v>
      </c>
      <c r="O39" s="230" t="s">
        <v>62</v>
      </c>
      <c r="P39" s="230" t="s">
        <v>627</v>
      </c>
      <c r="Q39" s="230" t="s">
        <v>62</v>
      </c>
      <c r="R39" s="230" t="s">
        <v>627</v>
      </c>
      <c r="S39" s="230" t="s">
        <v>62</v>
      </c>
      <c r="T39" s="230" t="s">
        <v>627</v>
      </c>
      <c r="U39" s="230" t="s">
        <v>62</v>
      </c>
      <c r="V39" s="230" t="s">
        <v>627</v>
      </c>
      <c r="W39" s="230" t="s">
        <v>62</v>
      </c>
      <c r="X39" s="230" t="s">
        <v>627</v>
      </c>
      <c r="Y39" s="230" t="s">
        <v>62</v>
      </c>
      <c r="Z39" s="230" t="s">
        <v>627</v>
      </c>
      <c r="AA39" s="230" t="s">
        <v>62</v>
      </c>
      <c r="AB39" s="230" t="s">
        <v>627</v>
      </c>
      <c r="AC39" s="230" t="s">
        <v>62</v>
      </c>
      <c r="AD39" s="230" t="s">
        <v>627</v>
      </c>
      <c r="AE39" s="230" t="s">
        <v>62</v>
      </c>
      <c r="AF39" s="230" t="s">
        <v>627</v>
      </c>
      <c r="AG39" s="230" t="s">
        <v>62</v>
      </c>
      <c r="AH39" s="230" t="s">
        <v>627</v>
      </c>
      <c r="AI39" s="230" t="s">
        <v>62</v>
      </c>
      <c r="AJ39" s="230" t="s">
        <v>627</v>
      </c>
    </row>
    <row r="40" spans="1:37" s="229" customFormat="1" x14ac:dyDescent="0.35">
      <c r="A40" s="286" t="s">
        <v>643</v>
      </c>
      <c r="B40" s="286" t="s">
        <v>629</v>
      </c>
      <c r="C40" s="289">
        <v>-36494</v>
      </c>
      <c r="D40" s="288">
        <f>C40/$C$40</f>
        <v>1</v>
      </c>
      <c r="E40" s="289">
        <v>-40005</v>
      </c>
      <c r="F40" s="288">
        <f>E40/$E$40</f>
        <v>1</v>
      </c>
      <c r="G40" s="289">
        <v>-43146</v>
      </c>
      <c r="H40" s="288">
        <f>G40/$G$40</f>
        <v>1</v>
      </c>
      <c r="I40" s="289">
        <f>K40-G40-E40-C40</f>
        <v>-47107</v>
      </c>
      <c r="J40" s="288">
        <f>I40/$I$40</f>
        <v>1</v>
      </c>
      <c r="K40" s="296">
        <v>-166752</v>
      </c>
      <c r="L40" s="294">
        <f>K40/$K$40</f>
        <v>1</v>
      </c>
      <c r="M40" s="289">
        <v>-42597</v>
      </c>
      <c r="N40" s="288">
        <f>M40/$M$40</f>
        <v>1</v>
      </c>
      <c r="O40" s="289">
        <v>-50299</v>
      </c>
      <c r="P40" s="288">
        <f>O40/$O$40</f>
        <v>1</v>
      </c>
      <c r="Q40" s="289">
        <v>-52985</v>
      </c>
      <c r="R40" s="288">
        <f>Q40/$Q$40</f>
        <v>1</v>
      </c>
      <c r="S40" s="289">
        <f>U40-M40-O40-Q40</f>
        <v>-63007</v>
      </c>
      <c r="T40" s="288">
        <f>S40/$S$40</f>
        <v>1</v>
      </c>
      <c r="U40" s="296">
        <v>-208888</v>
      </c>
      <c r="V40" s="294">
        <f>U40/$U$40</f>
        <v>1</v>
      </c>
      <c r="W40" s="289">
        <v>-53397</v>
      </c>
      <c r="X40" s="288">
        <f>W40/$W$40</f>
        <v>1</v>
      </c>
      <c r="Y40" s="289">
        <v>-57396</v>
      </c>
      <c r="Z40" s="288">
        <f>Y40/$Y$40</f>
        <v>1</v>
      </c>
      <c r="AA40" s="289">
        <v>-51394</v>
      </c>
      <c r="AB40" s="288">
        <f>AA40/$AA$40</f>
        <v>1</v>
      </c>
      <c r="AC40" s="289">
        <f>AE40-W40-Y40-AA40</f>
        <v>-71262</v>
      </c>
      <c r="AD40" s="288">
        <f>AC40/$AC$40</f>
        <v>1</v>
      </c>
      <c r="AE40" s="297">
        <v>-233449</v>
      </c>
      <c r="AF40" s="292">
        <f>AE40/$AE$40</f>
        <v>1</v>
      </c>
      <c r="AG40" s="289">
        <f>SUM(AG41:AG45)</f>
        <v>-59616</v>
      </c>
      <c r="AH40" s="389">
        <f>AG40/$AG$40</f>
        <v>1</v>
      </c>
      <c r="AI40" s="450">
        <f>SUM(AI41:AI45)</f>
        <v>-64452</v>
      </c>
      <c r="AJ40" s="288">
        <f>AI40/AI40</f>
        <v>1</v>
      </c>
      <c r="AK40" s="233"/>
    </row>
    <row r="41" spans="1:37" s="229" customFormat="1" x14ac:dyDescent="0.35">
      <c r="A41" s="118" t="s">
        <v>630</v>
      </c>
      <c r="B41" s="118" t="s">
        <v>631</v>
      </c>
      <c r="C41" s="8">
        <v>-68</v>
      </c>
      <c r="D41" s="28">
        <f t="shared" ref="D41:D45" si="41">C41/$C$40</f>
        <v>1.8633199978078589E-3</v>
      </c>
      <c r="E41" s="8">
        <v>-103</v>
      </c>
      <c r="F41" s="28">
        <f t="shared" ref="F41:F45" si="42">E41/$E$40</f>
        <v>2.5746781652293462E-3</v>
      </c>
      <c r="G41" s="8">
        <v>-96</v>
      </c>
      <c r="H41" s="28">
        <f t="shared" ref="H41:H45" si="43">G41/$G$40</f>
        <v>2.225003476567932E-3</v>
      </c>
      <c r="I41" s="8">
        <v>-126</v>
      </c>
      <c r="J41" s="28">
        <f t="shared" ref="J41:J45" si="44">I41/$I$40</f>
        <v>2.6747617126966269E-3</v>
      </c>
      <c r="K41" s="241">
        <v>-393</v>
      </c>
      <c r="L41" s="240">
        <f t="shared" ref="L41:L45" si="45">K41/$K$40</f>
        <v>2.3567933218192286E-3</v>
      </c>
      <c r="M41" s="8">
        <v>-113</v>
      </c>
      <c r="N41" s="28">
        <f t="shared" ref="N41:N45" si="46">M41/$M$40</f>
        <v>2.6527689743409159E-3</v>
      </c>
      <c r="O41" s="8">
        <v>-150</v>
      </c>
      <c r="P41" s="28">
        <f t="shared" ref="P41:P45" si="47">O41/$O$40</f>
        <v>2.982166643472037E-3</v>
      </c>
      <c r="Q41" s="8">
        <v>-162</v>
      </c>
      <c r="R41" s="28">
        <f t="shared" ref="R41:R45" si="48">Q41/$Q$40</f>
        <v>3.0574690950268945E-3</v>
      </c>
      <c r="S41" s="8">
        <v>-311</v>
      </c>
      <c r="T41" s="28">
        <f t="shared" ref="T41:T45" si="49">S41/$S$40</f>
        <v>4.9359594965638735E-3</v>
      </c>
      <c r="U41" s="241">
        <v>-736</v>
      </c>
      <c r="V41" s="240">
        <f t="shared" ref="V41:V45" si="50">U41/$U$40</f>
        <v>3.523419248592547E-3</v>
      </c>
      <c r="W41" s="8">
        <v>-215</v>
      </c>
      <c r="X41" s="222">
        <f>W41/$W$40</f>
        <v>4.0264434331516753E-3</v>
      </c>
      <c r="Y41" s="8">
        <v>-300</v>
      </c>
      <c r="Z41" s="28">
        <f t="shared" ref="Z41:Z45" si="51">Y41/$Y$40</f>
        <v>5.2268450763119385E-3</v>
      </c>
      <c r="AA41" s="8">
        <v>-279</v>
      </c>
      <c r="AB41" s="28">
        <f t="shared" ref="AB41:AB45" si="52">AA41/$AA$40</f>
        <v>5.428649258668327E-3</v>
      </c>
      <c r="AC41" s="8">
        <f>AE41-W41-Y41-AA41</f>
        <v>-455</v>
      </c>
      <c r="AD41" s="28">
        <f t="shared" ref="AD41:AD45" si="53">AC41/$AC$40</f>
        <v>6.3848895624596556E-3</v>
      </c>
      <c r="AE41" s="149">
        <v>-1249</v>
      </c>
      <c r="AF41" s="232">
        <f t="shared" ref="AF41:AF45" si="54">AE41/$AE$40</f>
        <v>5.3502049698221027E-3</v>
      </c>
      <c r="AG41" s="8">
        <v>-376</v>
      </c>
      <c r="AH41" s="390">
        <f>AG41/$G$40</f>
        <v>8.7145969498910684E-3</v>
      </c>
      <c r="AI41" s="347">
        <v>-406</v>
      </c>
      <c r="AJ41" s="28">
        <f>AI41/$AI$40</f>
        <v>6.2992614658971017E-3</v>
      </c>
      <c r="AK41" s="28"/>
    </row>
    <row r="42" spans="1:37" s="229" customFormat="1" x14ac:dyDescent="0.35">
      <c r="A42" s="118" t="s">
        <v>632</v>
      </c>
      <c r="B42" s="118" t="s">
        <v>633</v>
      </c>
      <c r="C42" s="8">
        <v>-8795</v>
      </c>
      <c r="D42" s="28">
        <f t="shared" si="41"/>
        <v>0.24099852030470761</v>
      </c>
      <c r="E42" s="8">
        <v>-11726</v>
      </c>
      <c r="F42" s="28">
        <f t="shared" si="42"/>
        <v>0.29311336082989625</v>
      </c>
      <c r="G42" s="8">
        <v>-12339</v>
      </c>
      <c r="H42" s="28">
        <f t="shared" si="43"/>
        <v>0.28598247809762201</v>
      </c>
      <c r="I42" s="8">
        <v>-13669</v>
      </c>
      <c r="J42" s="28">
        <f t="shared" si="44"/>
        <v>0.29016918929246183</v>
      </c>
      <c r="K42" s="241">
        <v>-46529</v>
      </c>
      <c r="L42" s="240">
        <f t="shared" si="45"/>
        <v>0.27903113605833813</v>
      </c>
      <c r="M42" s="8">
        <v>-10251</v>
      </c>
      <c r="N42" s="28">
        <f t="shared" si="46"/>
        <v>0.24065075005282063</v>
      </c>
      <c r="O42" s="8">
        <v>-16307</v>
      </c>
      <c r="P42" s="28">
        <f>O42/$O$40</f>
        <v>0.32420127636732343</v>
      </c>
      <c r="Q42" s="8">
        <v>-17572</v>
      </c>
      <c r="R42" s="28">
        <f t="shared" si="48"/>
        <v>0.33164103048032462</v>
      </c>
      <c r="S42" s="8">
        <v>-22413</v>
      </c>
      <c r="T42" s="28">
        <f t="shared" si="49"/>
        <v>0.35572238005300999</v>
      </c>
      <c r="U42" s="241">
        <v>-66543</v>
      </c>
      <c r="V42" s="240">
        <f t="shared" si="50"/>
        <v>0.31855827046072538</v>
      </c>
      <c r="W42" s="8">
        <v>-18343</v>
      </c>
      <c r="X42" s="222">
        <f t="shared" ref="X42:X45" si="55">W42/$W$40</f>
        <v>0.34352117160140083</v>
      </c>
      <c r="Y42" s="8">
        <v>-21987</v>
      </c>
      <c r="Z42" s="28">
        <f t="shared" si="51"/>
        <v>0.38307547564290195</v>
      </c>
      <c r="AA42" s="8">
        <v>-19865</v>
      </c>
      <c r="AB42" s="28">
        <f t="shared" si="52"/>
        <v>0.38652371872202979</v>
      </c>
      <c r="AC42" s="8">
        <f>AE42-W42-Y42-AA42</f>
        <v>-26153</v>
      </c>
      <c r="AD42" s="28">
        <f t="shared" si="53"/>
        <v>0.36699783896045579</v>
      </c>
      <c r="AE42" s="149">
        <v>-86348</v>
      </c>
      <c r="AF42" s="232">
        <f t="shared" si="54"/>
        <v>0.36987950258943064</v>
      </c>
      <c r="AG42" s="8">
        <v>-23253</v>
      </c>
      <c r="AH42" s="390">
        <f t="shared" ref="AH42:AH45" si="56">AG42/$G$40</f>
        <v>0.53893756083993882</v>
      </c>
      <c r="AI42" s="347">
        <v>-22267</v>
      </c>
      <c r="AJ42" s="28">
        <f>AI42/$AI$40</f>
        <v>0.34548190901756348</v>
      </c>
    </row>
    <row r="43" spans="1:37" s="229" customFormat="1" x14ac:dyDescent="0.35">
      <c r="A43" s="118" t="s">
        <v>634</v>
      </c>
      <c r="B43" s="118" t="s">
        <v>635</v>
      </c>
      <c r="C43" s="8">
        <v>-8867</v>
      </c>
      <c r="D43" s="28">
        <f t="shared" si="41"/>
        <v>0.24297144736121007</v>
      </c>
      <c r="E43" s="8">
        <v>-3694</v>
      </c>
      <c r="F43" s="28">
        <f t="shared" si="42"/>
        <v>9.2338457692788395E-2</v>
      </c>
      <c r="G43" s="8">
        <v>-3672</v>
      </c>
      <c r="H43" s="28">
        <f t="shared" si="43"/>
        <v>8.5106382978723402E-2</v>
      </c>
      <c r="I43" s="8">
        <v>-3347</v>
      </c>
      <c r="J43" s="28">
        <f t="shared" si="44"/>
        <v>7.1051011526949287E-2</v>
      </c>
      <c r="K43" s="241">
        <v>-19580</v>
      </c>
      <c r="L43" s="240">
        <f t="shared" si="45"/>
        <v>0.11741988102091729</v>
      </c>
      <c r="M43" s="8">
        <v>-10256</v>
      </c>
      <c r="N43" s="28">
        <f t="shared" si="46"/>
        <v>0.24076812921097729</v>
      </c>
      <c r="O43" s="8">
        <v>-6391</v>
      </c>
      <c r="P43" s="28">
        <f t="shared" si="47"/>
        <v>0.12706018012286527</v>
      </c>
      <c r="Q43" s="8">
        <v>-5641</v>
      </c>
      <c r="R43" s="28">
        <f t="shared" si="48"/>
        <v>0.10646409361139945</v>
      </c>
      <c r="S43" s="8">
        <v>-5539</v>
      </c>
      <c r="T43" s="28">
        <f t="shared" si="49"/>
        <v>8.791086704651864E-2</v>
      </c>
      <c r="U43" s="241">
        <v>-27827</v>
      </c>
      <c r="V43" s="240">
        <f t="shared" si="50"/>
        <v>0.13321492857416414</v>
      </c>
      <c r="W43" s="8">
        <v>-6087</v>
      </c>
      <c r="X43" s="222">
        <f t="shared" si="55"/>
        <v>0.11399516826788021</v>
      </c>
      <c r="Y43" s="8">
        <v>-6809</v>
      </c>
      <c r="Z43" s="28">
        <f t="shared" si="51"/>
        <v>0.11863196041535995</v>
      </c>
      <c r="AA43" s="8">
        <v>-7606</v>
      </c>
      <c r="AB43" s="28">
        <f t="shared" si="52"/>
        <v>0.14799392925244192</v>
      </c>
      <c r="AC43" s="8">
        <f>AE43-W43-Y43-AA43</f>
        <v>-8917</v>
      </c>
      <c r="AD43" s="28">
        <f t="shared" si="53"/>
        <v>0.12512980269989615</v>
      </c>
      <c r="AE43" s="149">
        <v>-29419</v>
      </c>
      <c r="AF43" s="232">
        <f t="shared" si="54"/>
        <v>0.12601895917309563</v>
      </c>
      <c r="AG43" s="8">
        <v>-6510</v>
      </c>
      <c r="AH43" s="390">
        <f t="shared" si="56"/>
        <v>0.1508830482547629</v>
      </c>
      <c r="AI43" s="347">
        <v>-10289</v>
      </c>
      <c r="AJ43" s="28">
        <f>AI43/$AI$40</f>
        <v>0.15963818035126917</v>
      </c>
    </row>
    <row r="44" spans="1:37" s="229" customFormat="1" x14ac:dyDescent="0.35">
      <c r="A44" s="118" t="s">
        <v>636</v>
      </c>
      <c r="B44" s="118" t="s">
        <v>636</v>
      </c>
      <c r="C44" s="8">
        <v>-16491</v>
      </c>
      <c r="D44" s="28">
        <f t="shared" si="41"/>
        <v>0.45188250123307944</v>
      </c>
      <c r="E44" s="8">
        <v>-21500</v>
      </c>
      <c r="F44" s="28">
        <f t="shared" si="42"/>
        <v>0.53743282089738786</v>
      </c>
      <c r="G44" s="8">
        <v>-23955</v>
      </c>
      <c r="H44" s="28">
        <f t="shared" si="43"/>
        <v>0.55520789876234178</v>
      </c>
      <c r="I44" s="8">
        <v>-27508</v>
      </c>
      <c r="J44" s="28">
        <f t="shared" si="44"/>
        <v>0.58394718407030799</v>
      </c>
      <c r="K44" s="241">
        <v>-89454</v>
      </c>
      <c r="L44" s="240">
        <f t="shared" si="45"/>
        <v>0.5364493379389752</v>
      </c>
      <c r="M44" s="8">
        <v>-19645</v>
      </c>
      <c r="N44" s="28">
        <f t="shared" si="46"/>
        <v>0.46118271239758668</v>
      </c>
      <c r="O44" s="8">
        <v>-23862</v>
      </c>
      <c r="P44" s="28">
        <f t="shared" si="47"/>
        <v>0.47440306964353168</v>
      </c>
      <c r="Q44" s="8">
        <v>-26378</v>
      </c>
      <c r="R44" s="28">
        <f t="shared" si="48"/>
        <v>0.49783901104086065</v>
      </c>
      <c r="S44" s="8">
        <v>-32050</v>
      </c>
      <c r="T44" s="28">
        <f t="shared" si="49"/>
        <v>0.50867363943688793</v>
      </c>
      <c r="U44" s="241">
        <v>-101935</v>
      </c>
      <c r="V44" s="240">
        <f>U44/$U$40</f>
        <v>0.48798877867565393</v>
      </c>
      <c r="W44" s="8">
        <v>-25611</v>
      </c>
      <c r="X44" s="222">
        <f t="shared" si="55"/>
        <v>0.47963368728580258</v>
      </c>
      <c r="Y44" s="8">
        <v>-25640</v>
      </c>
      <c r="Z44" s="28">
        <f t="shared" si="51"/>
        <v>0.44672102585546031</v>
      </c>
      <c r="AA44" s="8">
        <v>-21575</v>
      </c>
      <c r="AB44" s="28">
        <f t="shared" si="52"/>
        <v>0.41979608514612599</v>
      </c>
      <c r="AC44" s="8">
        <f t="shared" ref="AC44" si="57">AE44-W44-Y44-AA44</f>
        <v>-32316</v>
      </c>
      <c r="AD44" s="28">
        <f t="shared" si="53"/>
        <v>0.45348151890207966</v>
      </c>
      <c r="AE44" s="149">
        <v>-105142</v>
      </c>
      <c r="AF44" s="232">
        <f t="shared" si="54"/>
        <v>0.45038530899682588</v>
      </c>
      <c r="AG44" s="8">
        <v>-26411</v>
      </c>
      <c r="AH44" s="390">
        <f t="shared" si="56"/>
        <v>0.61213090437120476</v>
      </c>
      <c r="AI44" s="347">
        <v>-28106</v>
      </c>
      <c r="AJ44" s="28">
        <f t="shared" ref="AJ44:AJ45" si="58">AI44/$AI$40</f>
        <v>0.43607646000124123</v>
      </c>
    </row>
    <row r="45" spans="1:37" s="229" customFormat="1" x14ac:dyDescent="0.35">
      <c r="A45" s="118" t="s">
        <v>637</v>
      </c>
      <c r="B45" s="118" t="s">
        <v>638</v>
      </c>
      <c r="C45" s="8">
        <v>-2273</v>
      </c>
      <c r="D45" s="242">
        <f t="shared" si="41"/>
        <v>6.2284211103195049E-2</v>
      </c>
      <c r="E45" s="8">
        <v>-2982</v>
      </c>
      <c r="F45" s="242">
        <f t="shared" si="42"/>
        <v>7.4540682414698162E-2</v>
      </c>
      <c r="G45" s="8">
        <v>-3084</v>
      </c>
      <c r="H45" s="242">
        <f t="shared" si="43"/>
        <v>7.1478236684744817E-2</v>
      </c>
      <c r="I45" s="8">
        <f>I40-I41-I42-I43-I44</f>
        <v>-2457</v>
      </c>
      <c r="J45" s="242">
        <f t="shared" si="44"/>
        <v>5.2157853397584227E-2</v>
      </c>
      <c r="K45" s="241">
        <v>-10796</v>
      </c>
      <c r="L45" s="240">
        <f t="shared" si="45"/>
        <v>6.4742851659950099E-2</v>
      </c>
      <c r="M45" s="243">
        <v>-2332</v>
      </c>
      <c r="N45" s="242">
        <f t="shared" si="46"/>
        <v>5.4745639364274477E-2</v>
      </c>
      <c r="O45" s="8">
        <v>-3589</v>
      </c>
      <c r="P45" s="28">
        <f t="shared" si="47"/>
        <v>7.135330722280761E-2</v>
      </c>
      <c r="Q45" s="8">
        <v>-3232</v>
      </c>
      <c r="R45" s="28">
        <f t="shared" si="48"/>
        <v>6.0998395772388414E-2</v>
      </c>
      <c r="S45" s="8">
        <f>S40-SUM(S41:S44)</f>
        <v>-2694</v>
      </c>
      <c r="T45" s="28">
        <f t="shared" si="49"/>
        <v>4.275715396701954E-2</v>
      </c>
      <c r="U45" s="241">
        <v>-11847</v>
      </c>
      <c r="V45" s="240">
        <f t="shared" si="50"/>
        <v>5.6714603040864002E-2</v>
      </c>
      <c r="W45" s="8">
        <v>-3141</v>
      </c>
      <c r="X45" s="222">
        <f t="shared" si="55"/>
        <v>5.8823529411764705E-2</v>
      </c>
      <c r="Y45" s="8">
        <v>-2660</v>
      </c>
      <c r="Z45" s="28">
        <f t="shared" si="51"/>
        <v>4.6344693009965854E-2</v>
      </c>
      <c r="AA45" s="8">
        <v>-2069</v>
      </c>
      <c r="AB45" s="28">
        <f t="shared" si="52"/>
        <v>4.0257617620733939E-2</v>
      </c>
      <c r="AC45" s="8">
        <f>AE45-W45-Y45-AA45</f>
        <v>-3421</v>
      </c>
      <c r="AD45" s="28">
        <f t="shared" si="53"/>
        <v>4.8005949875108755E-2</v>
      </c>
      <c r="AE45" s="149">
        <v>-11291</v>
      </c>
      <c r="AF45" s="232">
        <f t="shared" si="54"/>
        <v>4.8366024270825751E-2</v>
      </c>
      <c r="AG45" s="8">
        <v>-3066</v>
      </c>
      <c r="AH45" s="390">
        <f t="shared" si="56"/>
        <v>7.1061048532888332E-2</v>
      </c>
      <c r="AI45" s="347">
        <v>-3384</v>
      </c>
      <c r="AJ45" s="28">
        <f t="shared" si="58"/>
        <v>5.2504189164029047E-2</v>
      </c>
    </row>
    <row r="46" spans="1:37" s="229" customFormat="1" x14ac:dyDescent="0.35">
      <c r="A46" s="298" t="s">
        <v>639</v>
      </c>
      <c r="B46" s="298" t="s">
        <v>640</v>
      </c>
      <c r="C46" s="301">
        <v>-26192</v>
      </c>
      <c r="D46" s="300"/>
      <c r="E46" s="301">
        <v>-27671</v>
      </c>
      <c r="F46" s="300"/>
      <c r="G46" s="301">
        <v>-28654</v>
      </c>
      <c r="H46" s="300"/>
      <c r="I46" s="301">
        <f>K46-C46-E46-G46</f>
        <v>-32053</v>
      </c>
      <c r="J46" s="306"/>
      <c r="K46" s="302">
        <v>-114570</v>
      </c>
      <c r="L46" s="303"/>
      <c r="M46" s="301">
        <v>-29467</v>
      </c>
      <c r="N46" s="306"/>
      <c r="O46" s="301">
        <v>-32586</v>
      </c>
      <c r="P46" s="301"/>
      <c r="Q46" s="301">
        <v>-34149</v>
      </c>
      <c r="R46" s="306"/>
      <c r="S46" s="301">
        <v>-2694</v>
      </c>
      <c r="T46" s="306"/>
      <c r="U46" s="302">
        <v>-133403</v>
      </c>
      <c r="V46" s="311"/>
      <c r="W46" s="301">
        <v>-28893</v>
      </c>
      <c r="X46" s="306"/>
      <c r="Y46" s="301">
        <v>-17443</v>
      </c>
      <c r="Z46" s="300"/>
      <c r="AA46" s="301">
        <v>-2131</v>
      </c>
      <c r="AB46" s="306"/>
      <c r="AC46" s="301">
        <f>AE46-W46-Y46-AA46</f>
        <v>-1918</v>
      </c>
      <c r="AD46" s="308"/>
      <c r="AE46" s="310">
        <v>-50385</v>
      </c>
      <c r="AF46" s="309"/>
      <c r="AG46" s="301">
        <v>-1613</v>
      </c>
      <c r="AH46" s="391"/>
      <c r="AI46" s="449">
        <v>-2041</v>
      </c>
      <c r="AJ46" s="300"/>
    </row>
    <row r="47" spans="1:37" s="229" customFormat="1" x14ac:dyDescent="0.35">
      <c r="A47" s="298" t="s">
        <v>641</v>
      </c>
      <c r="B47" s="298" t="s">
        <v>642</v>
      </c>
      <c r="C47" s="301">
        <v>-62686</v>
      </c>
      <c r="D47" s="300"/>
      <c r="E47" s="301">
        <v>-67676</v>
      </c>
      <c r="F47" s="300"/>
      <c r="G47" s="301">
        <v>-71800</v>
      </c>
      <c r="H47" s="300"/>
      <c r="I47" s="301">
        <f>K47-C47-E47-G47</f>
        <v>-79160</v>
      </c>
      <c r="J47" s="306"/>
      <c r="K47" s="302">
        <v>-281322</v>
      </c>
      <c r="L47" s="303"/>
      <c r="M47" s="301">
        <v>-72064</v>
      </c>
      <c r="N47" s="306"/>
      <c r="O47" s="301">
        <v>-82885</v>
      </c>
      <c r="P47" s="306"/>
      <c r="Q47" s="301">
        <v>-87134</v>
      </c>
      <c r="R47" s="306"/>
      <c r="S47" s="301">
        <v>-100208</v>
      </c>
      <c r="T47" s="306"/>
      <c r="U47" s="302">
        <v>-342291</v>
      </c>
      <c r="V47" s="311"/>
      <c r="W47" s="301">
        <v>-82290</v>
      </c>
      <c r="X47" s="306"/>
      <c r="Y47" s="301">
        <v>-74839</v>
      </c>
      <c r="Z47" s="300"/>
      <c r="AA47" s="301">
        <v>-53525</v>
      </c>
      <c r="AB47" s="306"/>
      <c r="AC47" s="301">
        <f>AE47-W47-Y47-AA47</f>
        <v>-73180</v>
      </c>
      <c r="AD47" s="308"/>
      <c r="AE47" s="310">
        <v>-283834</v>
      </c>
      <c r="AF47" s="309"/>
      <c r="AG47" s="301">
        <f>AG40+AG46</f>
        <v>-61229</v>
      </c>
      <c r="AH47" s="391"/>
      <c r="AI47" s="449">
        <f>AI40+AI46</f>
        <v>-66493</v>
      </c>
      <c r="AJ47" s="300"/>
    </row>
    <row r="48" spans="1:37" s="229" customFormat="1" x14ac:dyDescent="0.35">
      <c r="C48" s="239"/>
      <c r="E48" s="235"/>
      <c r="F48" s="235"/>
      <c r="G48" s="239"/>
      <c r="H48" s="239"/>
      <c r="I48" s="239"/>
      <c r="K48" s="239"/>
      <c r="O48" s="235"/>
      <c r="Q48" s="235"/>
      <c r="S48" s="239"/>
      <c r="U48" s="235"/>
      <c r="V48" s="235"/>
      <c r="Y48" s="235"/>
      <c r="AA48" s="235"/>
      <c r="AB48" s="235"/>
      <c r="AI48" s="235"/>
    </row>
    <row r="49" spans="1:37" s="229" customFormat="1" ht="15" thickBot="1" x14ac:dyDescent="0.4">
      <c r="O49" s="235"/>
      <c r="Q49" s="235"/>
      <c r="U49" s="235"/>
      <c r="Y49" s="235"/>
      <c r="AA49" s="235"/>
      <c r="AB49" s="235"/>
      <c r="AI49" s="235"/>
    </row>
    <row r="50" spans="1:37" s="229" customFormat="1" ht="15" thickBot="1" x14ac:dyDescent="0.4">
      <c r="A50" s="504" t="s">
        <v>170</v>
      </c>
      <c r="B50" s="505" t="s">
        <v>171</v>
      </c>
      <c r="C50" s="496" t="s">
        <v>49</v>
      </c>
      <c r="D50" s="497"/>
      <c r="E50" s="496" t="s">
        <v>50</v>
      </c>
      <c r="F50" s="497"/>
      <c r="G50" s="496" t="s">
        <v>51</v>
      </c>
      <c r="H50" s="497"/>
      <c r="I50" s="496" t="s">
        <v>52</v>
      </c>
      <c r="J50" s="497"/>
      <c r="K50" s="496">
        <v>2021</v>
      </c>
      <c r="L50" s="497"/>
      <c r="M50" s="496" t="s">
        <v>53</v>
      </c>
      <c r="N50" s="497"/>
      <c r="O50" s="496" t="s">
        <v>54</v>
      </c>
      <c r="P50" s="497"/>
      <c r="Q50" s="496" t="s">
        <v>55</v>
      </c>
      <c r="R50" s="497"/>
      <c r="S50" s="496" t="s">
        <v>56</v>
      </c>
      <c r="T50" s="497"/>
      <c r="U50" s="496">
        <v>2022</v>
      </c>
      <c r="V50" s="497"/>
      <c r="W50" s="496" t="s">
        <v>57</v>
      </c>
      <c r="X50" s="497"/>
      <c r="Y50" s="496" t="s">
        <v>58</v>
      </c>
      <c r="Z50" s="497"/>
      <c r="AA50" s="496" t="s">
        <v>59</v>
      </c>
      <c r="AB50" s="497"/>
      <c r="AC50" s="496" t="s">
        <v>60</v>
      </c>
      <c r="AD50" s="497"/>
      <c r="AE50" s="498">
        <v>2023</v>
      </c>
      <c r="AF50" s="499"/>
      <c r="AG50" s="496" t="s">
        <v>61</v>
      </c>
      <c r="AH50" s="497"/>
      <c r="AI50" s="496" t="s">
        <v>1166</v>
      </c>
      <c r="AJ50" s="497"/>
    </row>
    <row r="51" spans="1:37" s="229" customFormat="1" ht="23.5" thickTop="1" x14ac:dyDescent="0.35">
      <c r="A51" s="504"/>
      <c r="B51" s="505"/>
      <c r="C51" s="230" t="s">
        <v>62</v>
      </c>
      <c r="D51" s="230" t="s">
        <v>627</v>
      </c>
      <c r="E51" s="230" t="s">
        <v>62</v>
      </c>
      <c r="F51" s="230" t="s">
        <v>627</v>
      </c>
      <c r="G51" s="230" t="s">
        <v>62</v>
      </c>
      <c r="H51" s="230" t="s">
        <v>627</v>
      </c>
      <c r="I51" s="230" t="s">
        <v>62</v>
      </c>
      <c r="J51" s="230" t="s">
        <v>627</v>
      </c>
      <c r="K51" s="230" t="s">
        <v>62</v>
      </c>
      <c r="L51" s="230" t="s">
        <v>627</v>
      </c>
      <c r="M51" s="230" t="s">
        <v>62</v>
      </c>
      <c r="N51" s="230" t="s">
        <v>627</v>
      </c>
      <c r="O51" s="230" t="s">
        <v>62</v>
      </c>
      <c r="P51" s="230" t="s">
        <v>627</v>
      </c>
      <c r="Q51" s="230" t="s">
        <v>62</v>
      </c>
      <c r="R51" s="230" t="s">
        <v>627</v>
      </c>
      <c r="S51" s="230" t="s">
        <v>62</v>
      </c>
      <c r="T51" s="230" t="s">
        <v>627</v>
      </c>
      <c r="U51" s="230" t="s">
        <v>62</v>
      </c>
      <c r="V51" s="230" t="s">
        <v>627</v>
      </c>
      <c r="W51" s="230" t="s">
        <v>62</v>
      </c>
      <c r="X51" s="230" t="s">
        <v>627</v>
      </c>
      <c r="Y51" s="230" t="s">
        <v>62</v>
      </c>
      <c r="Z51" s="230" t="s">
        <v>627</v>
      </c>
      <c r="AA51" s="230" t="s">
        <v>62</v>
      </c>
      <c r="AB51" s="230" t="s">
        <v>627</v>
      </c>
      <c r="AC51" s="230" t="s">
        <v>62</v>
      </c>
      <c r="AD51" s="230" t="s">
        <v>627</v>
      </c>
      <c r="AE51" s="230" t="s">
        <v>62</v>
      </c>
      <c r="AF51" s="230" t="s">
        <v>627</v>
      </c>
      <c r="AG51" s="230" t="s">
        <v>62</v>
      </c>
      <c r="AH51" s="230" t="s">
        <v>627</v>
      </c>
      <c r="AI51" s="230" t="s">
        <v>62</v>
      </c>
      <c r="AJ51" s="230" t="s">
        <v>627</v>
      </c>
    </row>
    <row r="52" spans="1:37" s="229" customFormat="1" x14ac:dyDescent="0.35">
      <c r="A52" s="286" t="s">
        <v>643</v>
      </c>
      <c r="B52" s="286" t="s">
        <v>629</v>
      </c>
      <c r="C52" s="289">
        <v>-15555</v>
      </c>
      <c r="D52" s="288">
        <f>C52/$C$52</f>
        <v>1</v>
      </c>
      <c r="E52" s="289">
        <v>-16036</v>
      </c>
      <c r="F52" s="288">
        <f>E52/$E$52</f>
        <v>1</v>
      </c>
      <c r="G52" s="289">
        <v>-16528</v>
      </c>
      <c r="H52" s="288">
        <f>G52/$G$52</f>
        <v>1</v>
      </c>
      <c r="I52" s="289">
        <v>-12886</v>
      </c>
      <c r="J52" s="288">
        <f>I52/$I$52</f>
        <v>1</v>
      </c>
      <c r="K52" s="297">
        <v>-61005</v>
      </c>
      <c r="L52" s="294">
        <f>K52/$K$52</f>
        <v>1</v>
      </c>
      <c r="M52" s="289">
        <v>-16969</v>
      </c>
      <c r="N52" s="288">
        <f>M52/$M$52</f>
        <v>1</v>
      </c>
      <c r="O52" s="289">
        <v>-20106</v>
      </c>
      <c r="P52" s="288">
        <f>O52/$O$52</f>
        <v>1</v>
      </c>
      <c r="Q52" s="289">
        <v>-18769</v>
      </c>
      <c r="R52" s="288">
        <f>Q52/$Q$52</f>
        <v>1</v>
      </c>
      <c r="S52" s="289">
        <v>-19265</v>
      </c>
      <c r="T52" s="288">
        <f>S52/$S$52</f>
        <v>1</v>
      </c>
      <c r="U52" s="297">
        <f>+M52+O52+Q52+S52</f>
        <v>-75109</v>
      </c>
      <c r="V52" s="294">
        <f>U52/$U$52</f>
        <v>1</v>
      </c>
      <c r="W52" s="289">
        <v>-17150</v>
      </c>
      <c r="X52" s="288">
        <f>W52/$W$52</f>
        <v>1</v>
      </c>
      <c r="Y52" s="289">
        <v>-22203</v>
      </c>
      <c r="Z52" s="288">
        <f>Y52/$Y$52</f>
        <v>1</v>
      </c>
      <c r="AA52" s="289">
        <v>-19956</v>
      </c>
      <c r="AB52" s="288">
        <f>AA52/$AA$52</f>
        <v>1</v>
      </c>
      <c r="AC52" s="289">
        <f>AE52-W52-Y52-AA52</f>
        <v>-19035</v>
      </c>
      <c r="AD52" s="290">
        <f>AC52/$AC$52</f>
        <v>1</v>
      </c>
      <c r="AE52" s="297">
        <v>-78344</v>
      </c>
      <c r="AF52" s="292">
        <f>AE52/$AE$52</f>
        <v>1</v>
      </c>
      <c r="AG52" s="289">
        <f>SUM(AG53:AG57)</f>
        <v>-22730</v>
      </c>
      <c r="AH52" s="389">
        <f>AG52/$AG$52</f>
        <v>1</v>
      </c>
      <c r="AI52" s="450">
        <f>SUM(AI53:AI56)</f>
        <v>-22637</v>
      </c>
      <c r="AJ52" s="288">
        <f>AI52/$AI$52</f>
        <v>1</v>
      </c>
    </row>
    <row r="53" spans="1:37" s="229" customFormat="1" x14ac:dyDescent="0.35">
      <c r="A53" s="118" t="s">
        <v>630</v>
      </c>
      <c r="B53" s="118" t="s">
        <v>631</v>
      </c>
      <c r="C53" s="8">
        <v>-4093</v>
      </c>
      <c r="D53" s="28">
        <f t="shared" ref="D53:D55" si="59">C53/$C$52</f>
        <v>0.26313082610093219</v>
      </c>
      <c r="E53" s="8">
        <v>-4402</v>
      </c>
      <c r="F53" s="28">
        <f t="shared" ref="F53:F56" si="60">E53/$E$52</f>
        <v>0.2745073584435021</v>
      </c>
      <c r="G53" s="8">
        <v>-4839</v>
      </c>
      <c r="H53" s="28">
        <f t="shared" ref="H53:H56" si="61">G53/$G$52</f>
        <v>0.29277589545014521</v>
      </c>
      <c r="I53" s="8">
        <v>-4567</v>
      </c>
      <c r="J53" s="28">
        <f t="shared" ref="J53:J56" si="62">I53/$I$52</f>
        <v>0.3544156448859227</v>
      </c>
      <c r="K53" s="253">
        <v>-17901</v>
      </c>
      <c r="L53" s="240">
        <f t="shared" ref="L53:L56" si="63">K53/$K$52</f>
        <v>0.29343496434718463</v>
      </c>
      <c r="M53" s="8">
        <v>-4571</v>
      </c>
      <c r="N53" s="28">
        <f t="shared" ref="N53:N56" si="64">M53/$M$52</f>
        <v>0.26937356355707465</v>
      </c>
      <c r="O53" s="8">
        <v>-5369</v>
      </c>
      <c r="P53" s="28">
        <f t="shared" ref="P53:P56" si="65">O53/$O$52</f>
        <v>0.26703471600517259</v>
      </c>
      <c r="Q53" s="8">
        <v>-5748</v>
      </c>
      <c r="R53" s="28">
        <f t="shared" ref="R53:R56" si="66">Q53/$Q$52</f>
        <v>0.3062496670041025</v>
      </c>
      <c r="S53" s="8">
        <v>-6263</v>
      </c>
      <c r="T53" s="28">
        <f t="shared" ref="T53:T56" si="67">S53/$S$52</f>
        <v>0.32509732675837011</v>
      </c>
      <c r="U53" s="253">
        <v>-21951</v>
      </c>
      <c r="V53" s="240">
        <f t="shared" ref="V53:V57" si="68">U53/$U$52</f>
        <v>0.2922552556950565</v>
      </c>
      <c r="W53" s="8">
        <v>-5366</v>
      </c>
      <c r="X53" s="222">
        <f t="shared" ref="X53:X56" si="69">W53/$W$52</f>
        <v>0.3128862973760933</v>
      </c>
      <c r="Y53" s="8">
        <v>-6887</v>
      </c>
      <c r="Z53" s="222">
        <f t="shared" ref="Z53:Z56" si="70">Y53/$Y$52</f>
        <v>0.31018330856190607</v>
      </c>
      <c r="AA53" s="8">
        <v>-6303</v>
      </c>
      <c r="AB53" s="222">
        <f t="shared" ref="AB53:AB56" si="71">AA53/$AA$52</f>
        <v>0.31584485868911605</v>
      </c>
      <c r="AC53" s="8">
        <f>AE53-W53-Y53-AA53</f>
        <v>-6181</v>
      </c>
      <c r="AD53" s="123">
        <f t="shared" ref="AD53:AD56" si="72">AC53/$AC$52</f>
        <v>0.32471762542684529</v>
      </c>
      <c r="AE53" s="149">
        <v>-24737</v>
      </c>
      <c r="AF53" s="232">
        <f t="shared" ref="AF53:AF56" si="73">AE53/$AE$52</f>
        <v>0.31574849382211784</v>
      </c>
      <c r="AG53" s="8">
        <v>-8291</v>
      </c>
      <c r="AH53" s="390">
        <f>AG53/$AG$52</f>
        <v>0.36476022877254727</v>
      </c>
      <c r="AI53" s="347">
        <v>-8302</v>
      </c>
      <c r="AJ53" s="28">
        <f t="shared" ref="AJ53:AJ56" si="74">AI53/$AI$52</f>
        <v>0.36674470998807263</v>
      </c>
      <c r="AK53" s="233"/>
    </row>
    <row r="54" spans="1:37" s="229" customFormat="1" x14ac:dyDescent="0.35">
      <c r="A54" s="118" t="s">
        <v>632</v>
      </c>
      <c r="B54" s="118" t="s">
        <v>633</v>
      </c>
      <c r="C54" s="8">
        <v>-3634</v>
      </c>
      <c r="D54" s="28">
        <f t="shared" si="59"/>
        <v>0.23362262937962069</v>
      </c>
      <c r="E54" s="8">
        <v>-4129</v>
      </c>
      <c r="F54" s="28">
        <f t="shared" si="60"/>
        <v>0.25748316288351208</v>
      </c>
      <c r="G54" s="8">
        <v>-3842</v>
      </c>
      <c r="H54" s="28">
        <f t="shared" si="61"/>
        <v>0.23245401742497579</v>
      </c>
      <c r="I54" s="8">
        <v>-2953</v>
      </c>
      <c r="J54" s="28">
        <f t="shared" si="62"/>
        <v>0.22916343318329971</v>
      </c>
      <c r="K54" s="253">
        <v>-14558</v>
      </c>
      <c r="L54" s="240">
        <f t="shared" si="63"/>
        <v>0.23863617736251128</v>
      </c>
      <c r="M54" s="8">
        <v>-4364</v>
      </c>
      <c r="N54" s="28">
        <f t="shared" si="64"/>
        <v>0.2571748482526961</v>
      </c>
      <c r="O54" s="8">
        <v>-5262</v>
      </c>
      <c r="P54" s="28">
        <f t="shared" si="65"/>
        <v>0.26171292151596537</v>
      </c>
      <c r="Q54" s="8">
        <v>-4928</v>
      </c>
      <c r="R54" s="28">
        <f t="shared" si="66"/>
        <v>0.26256060525334329</v>
      </c>
      <c r="S54" s="8">
        <v>-4430</v>
      </c>
      <c r="T54" s="28">
        <f t="shared" si="67"/>
        <v>0.22995068777575914</v>
      </c>
      <c r="U54" s="253">
        <v>-18984</v>
      </c>
      <c r="V54" s="240">
        <f t="shared" si="68"/>
        <v>0.25275266612523134</v>
      </c>
      <c r="W54" s="8">
        <v>-4026</v>
      </c>
      <c r="X54" s="222">
        <f t="shared" si="69"/>
        <v>0.23475218658892127</v>
      </c>
      <c r="Y54" s="8">
        <v>-5008</v>
      </c>
      <c r="Z54" s="222">
        <f t="shared" si="70"/>
        <v>0.22555510516596855</v>
      </c>
      <c r="AA54" s="8">
        <v>-4144</v>
      </c>
      <c r="AB54" s="222">
        <f t="shared" si="71"/>
        <v>0.2076568450591301</v>
      </c>
      <c r="AC54" s="8">
        <f>AE54-W54-Y54-AA54</f>
        <v>-3231</v>
      </c>
      <c r="AD54" s="123">
        <f t="shared" si="72"/>
        <v>0.16973995271867612</v>
      </c>
      <c r="AE54" s="149">
        <v>-16409</v>
      </c>
      <c r="AF54" s="232">
        <f t="shared" si="73"/>
        <v>0.20944807515572347</v>
      </c>
      <c r="AG54" s="8">
        <v>-3138</v>
      </c>
      <c r="AH54" s="390">
        <f>AG54/$AG$52</f>
        <v>0.13805543334799825</v>
      </c>
      <c r="AI54" s="347">
        <v>-3311</v>
      </c>
      <c r="AJ54" s="28">
        <f t="shared" si="74"/>
        <v>0.14626496443875073</v>
      </c>
    </row>
    <row r="55" spans="1:37" s="229" customFormat="1" x14ac:dyDescent="0.35">
      <c r="A55" s="118" t="s">
        <v>634</v>
      </c>
      <c r="B55" s="118" t="s">
        <v>635</v>
      </c>
      <c r="C55" s="8">
        <v>-4947</v>
      </c>
      <c r="D55" s="28">
        <f t="shared" si="59"/>
        <v>0.31803278688524589</v>
      </c>
      <c r="E55" s="8">
        <v>-5398</v>
      </c>
      <c r="F55" s="28">
        <f t="shared" si="60"/>
        <v>0.33661761037665255</v>
      </c>
      <c r="G55" s="8">
        <v>-5455</v>
      </c>
      <c r="H55" s="28">
        <f t="shared" si="61"/>
        <v>0.33004598257502421</v>
      </c>
      <c r="I55" s="8">
        <v>-3555</v>
      </c>
      <c r="J55" s="28">
        <f t="shared" si="62"/>
        <v>0.27588080086916034</v>
      </c>
      <c r="K55" s="253">
        <v>-19355</v>
      </c>
      <c r="L55" s="240">
        <f t="shared" si="63"/>
        <v>0.31726907630522089</v>
      </c>
      <c r="M55" s="8">
        <v>-6080</v>
      </c>
      <c r="N55" s="28">
        <f t="shared" si="64"/>
        <v>0.35830043019624019</v>
      </c>
      <c r="O55" s="8">
        <v>-6999</v>
      </c>
      <c r="P55" s="28">
        <f t="shared" si="65"/>
        <v>0.34810504327066549</v>
      </c>
      <c r="Q55" s="8">
        <v>-6003</v>
      </c>
      <c r="R55" s="28">
        <f t="shared" si="66"/>
        <v>0.31983589962171666</v>
      </c>
      <c r="S55" s="8">
        <v>-5700</v>
      </c>
      <c r="T55" s="28">
        <f t="shared" si="67"/>
        <v>0.29587334544510768</v>
      </c>
      <c r="U55" s="253">
        <v>-24782</v>
      </c>
      <c r="V55" s="240">
        <f t="shared" si="68"/>
        <v>0.32994714348480209</v>
      </c>
      <c r="W55" s="8">
        <v>-5957</v>
      </c>
      <c r="X55" s="222">
        <f t="shared" si="69"/>
        <v>0.34734693877551021</v>
      </c>
      <c r="Y55" s="8">
        <v>-7791</v>
      </c>
      <c r="Z55" s="222">
        <f t="shared" si="70"/>
        <v>0.35089852722605053</v>
      </c>
      <c r="AA55" s="8">
        <v>-6858</v>
      </c>
      <c r="AB55" s="222">
        <f t="shared" si="71"/>
        <v>0.34365604329524957</v>
      </c>
      <c r="AC55" s="8">
        <f>AE55-W55-Y55-AA55</f>
        <v>-5965</v>
      </c>
      <c r="AD55" s="123">
        <f t="shared" si="72"/>
        <v>0.31337010769634882</v>
      </c>
      <c r="AE55" s="149">
        <v>-26571</v>
      </c>
      <c r="AF55" s="232">
        <f t="shared" si="73"/>
        <v>0.33915807209231086</v>
      </c>
      <c r="AG55" s="8">
        <v>-8666</v>
      </c>
      <c r="AH55" s="390">
        <f>AG55/$AG$52</f>
        <v>0.38125824901011879</v>
      </c>
      <c r="AI55" s="347">
        <v>-8030</v>
      </c>
      <c r="AJ55" s="28">
        <f>AI55/$AI$52</f>
        <v>0.35472898352255156</v>
      </c>
    </row>
    <row r="56" spans="1:37" s="229" customFormat="1" x14ac:dyDescent="0.35">
      <c r="A56" s="118" t="s">
        <v>636</v>
      </c>
      <c r="B56" s="118" t="s">
        <v>636</v>
      </c>
      <c r="C56" s="8">
        <v>-2881</v>
      </c>
      <c r="D56" s="28">
        <f>C56/$C$52</f>
        <v>0.18521375763420123</v>
      </c>
      <c r="E56" s="8">
        <v>-2107</v>
      </c>
      <c r="F56" s="28">
        <f t="shared" si="60"/>
        <v>0.13139186829633326</v>
      </c>
      <c r="G56" s="8">
        <v>-2392</v>
      </c>
      <c r="H56" s="28">
        <f t="shared" si="61"/>
        <v>0.14472410454985479</v>
      </c>
      <c r="I56" s="8">
        <v>-1811</v>
      </c>
      <c r="J56" s="28">
        <f t="shared" si="62"/>
        <v>0.14054012106161726</v>
      </c>
      <c r="K56" s="253">
        <v>-9191</v>
      </c>
      <c r="L56" s="240">
        <f t="shared" si="63"/>
        <v>0.1506597819850832</v>
      </c>
      <c r="M56" s="8">
        <v>-1954</v>
      </c>
      <c r="N56" s="28">
        <f t="shared" si="64"/>
        <v>0.11515115799398903</v>
      </c>
      <c r="O56" s="8">
        <v>-2476</v>
      </c>
      <c r="P56" s="28">
        <f t="shared" si="65"/>
        <v>0.12314731920819656</v>
      </c>
      <c r="Q56" s="8">
        <v>-2090</v>
      </c>
      <c r="R56" s="28">
        <f t="shared" si="66"/>
        <v>0.11135382812083755</v>
      </c>
      <c r="S56" s="8">
        <v>-2872</v>
      </c>
      <c r="T56" s="28">
        <f t="shared" si="67"/>
        <v>0.14907864002076304</v>
      </c>
      <c r="U56" s="253">
        <v>-9392</v>
      </c>
      <c r="V56" s="240">
        <f t="shared" si="68"/>
        <v>0.12504493469491007</v>
      </c>
      <c r="W56" s="8">
        <v>-1801</v>
      </c>
      <c r="X56" s="222">
        <f t="shared" si="69"/>
        <v>0.10501457725947522</v>
      </c>
      <c r="Y56" s="8">
        <v>-2517</v>
      </c>
      <c r="Z56" s="222">
        <f t="shared" si="70"/>
        <v>0.11336305904607485</v>
      </c>
      <c r="AA56" s="8">
        <v>-2651</v>
      </c>
      <c r="AB56" s="222">
        <f t="shared" si="71"/>
        <v>0.13284225295650431</v>
      </c>
      <c r="AC56" s="8">
        <f>AE56-W56-Y56-AA56</f>
        <v>-3658</v>
      </c>
      <c r="AD56" s="123">
        <f t="shared" si="72"/>
        <v>0.19217231415812977</v>
      </c>
      <c r="AE56" s="149">
        <v>-10627</v>
      </c>
      <c r="AF56" s="232">
        <f t="shared" si="73"/>
        <v>0.13564535892984786</v>
      </c>
      <c r="AG56" s="8">
        <v>-2635</v>
      </c>
      <c r="AH56" s="390">
        <f t="shared" ref="AH56:AH57" si="75">AG56/$AG$52</f>
        <v>0.11592608886933568</v>
      </c>
      <c r="AI56" s="347">
        <v>-2994</v>
      </c>
      <c r="AJ56" s="28">
        <f t="shared" si="74"/>
        <v>0.13226134205062509</v>
      </c>
    </row>
    <row r="57" spans="1:37" s="229" customFormat="1" x14ac:dyDescent="0.35">
      <c r="A57" s="118" t="s">
        <v>637</v>
      </c>
      <c r="B57" s="118" t="s">
        <v>638</v>
      </c>
      <c r="C57" s="8">
        <f t="shared" ref="C57:K57" si="76">C52-C53-C54-C55-C56</f>
        <v>0</v>
      </c>
      <c r="D57" s="8">
        <f t="shared" si="76"/>
        <v>0</v>
      </c>
      <c r="E57" s="8">
        <f t="shared" si="76"/>
        <v>0</v>
      </c>
      <c r="F57" s="8">
        <f t="shared" si="76"/>
        <v>0</v>
      </c>
      <c r="G57" s="8">
        <f t="shared" si="76"/>
        <v>0</v>
      </c>
      <c r="H57" s="8">
        <f t="shared" si="76"/>
        <v>0</v>
      </c>
      <c r="I57" s="8">
        <f t="shared" si="76"/>
        <v>0</v>
      </c>
      <c r="J57" s="8">
        <f t="shared" si="76"/>
        <v>0</v>
      </c>
      <c r="K57" s="149">
        <f t="shared" si="76"/>
        <v>0</v>
      </c>
      <c r="L57" s="240" t="s">
        <v>178</v>
      </c>
      <c r="M57" s="243">
        <f>M52-M53-M54-M55-M56</f>
        <v>0</v>
      </c>
      <c r="N57" s="8">
        <f>N52-N53-N54-N55-N56</f>
        <v>0</v>
      </c>
      <c r="O57" s="243">
        <v>0</v>
      </c>
      <c r="P57" s="8">
        <f>P52-P53-P54-P55-P56</f>
        <v>0</v>
      </c>
      <c r="Q57" s="8">
        <v>0</v>
      </c>
      <c r="R57" s="8">
        <f>R52-R53-R54-R55-R56</f>
        <v>0</v>
      </c>
      <c r="S57" s="8">
        <f>S52-S53-S54-S55-S56</f>
        <v>0</v>
      </c>
      <c r="T57" s="8">
        <f>T52-T53-T54-T55-T56</f>
        <v>0</v>
      </c>
      <c r="U57" s="149">
        <f>U52-U53-U54-U55-U56</f>
        <v>0</v>
      </c>
      <c r="V57" s="240">
        <f t="shared" si="68"/>
        <v>0</v>
      </c>
      <c r="W57" s="8">
        <v>0</v>
      </c>
      <c r="X57" s="8">
        <v>0</v>
      </c>
      <c r="Y57" s="8">
        <v>0</v>
      </c>
      <c r="Z57" s="8">
        <v>0</v>
      </c>
      <c r="AA57" s="8">
        <v>0</v>
      </c>
      <c r="AB57" s="8">
        <v>0</v>
      </c>
      <c r="AC57" s="3" t="s">
        <v>178</v>
      </c>
      <c r="AD57" s="268" t="s">
        <v>178</v>
      </c>
      <c r="AE57" s="149" t="s">
        <v>178</v>
      </c>
      <c r="AF57" s="232" t="s">
        <v>178</v>
      </c>
      <c r="AG57" s="8">
        <v>0</v>
      </c>
      <c r="AH57" s="390">
        <f t="shared" si="75"/>
        <v>0</v>
      </c>
      <c r="AI57" s="347">
        <v>0</v>
      </c>
      <c r="AJ57" s="28" t="s">
        <v>1176</v>
      </c>
    </row>
    <row r="58" spans="1:37" s="229" customFormat="1" x14ac:dyDescent="0.35">
      <c r="A58" s="298" t="s">
        <v>639</v>
      </c>
      <c r="B58" s="298" t="s">
        <v>640</v>
      </c>
      <c r="C58" s="301">
        <f>+C59-C52</f>
        <v>0</v>
      </c>
      <c r="D58" s="301"/>
      <c r="E58" s="301">
        <f>+E59-E52</f>
        <v>0</v>
      </c>
      <c r="F58" s="301"/>
      <c r="G58" s="301" t="s">
        <v>178</v>
      </c>
      <c r="H58" s="301"/>
      <c r="I58" s="301" t="s">
        <v>178</v>
      </c>
      <c r="J58" s="301"/>
      <c r="K58" s="310">
        <f>+K59-K52</f>
        <v>0</v>
      </c>
      <c r="L58" s="303"/>
      <c r="M58" s="301" t="s">
        <v>178</v>
      </c>
      <c r="N58" s="301"/>
      <c r="O58" s="301" t="s">
        <v>178</v>
      </c>
      <c r="P58" s="301"/>
      <c r="Q58" s="301" t="s">
        <v>178</v>
      </c>
      <c r="R58" s="301"/>
      <c r="S58" s="301" t="s">
        <v>178</v>
      </c>
      <c r="T58" s="301"/>
      <c r="U58" s="310">
        <f>+U59-U52</f>
        <v>0</v>
      </c>
      <c r="V58" s="311"/>
      <c r="W58" s="301" t="s">
        <v>178</v>
      </c>
      <c r="X58" s="301"/>
      <c r="Y58" s="301" t="s">
        <v>178</v>
      </c>
      <c r="Z58" s="301"/>
      <c r="AA58" s="301" t="s">
        <v>178</v>
      </c>
      <c r="AB58" s="301"/>
      <c r="AC58" s="301" t="s">
        <v>178</v>
      </c>
      <c r="AD58" s="301"/>
      <c r="AE58" s="310" t="s">
        <v>178</v>
      </c>
      <c r="AF58" s="309"/>
      <c r="AG58" s="301" t="s">
        <v>178</v>
      </c>
      <c r="AH58" s="391"/>
      <c r="AI58" s="449" t="s">
        <v>178</v>
      </c>
      <c r="AJ58" s="300"/>
    </row>
    <row r="59" spans="1:37" s="229" customFormat="1" x14ac:dyDescent="0.35">
      <c r="A59" s="298" t="s">
        <v>641</v>
      </c>
      <c r="B59" s="298" t="s">
        <v>642</v>
      </c>
      <c r="C59" s="301">
        <v>-15555</v>
      </c>
      <c r="D59" s="300"/>
      <c r="E59" s="301">
        <v>-16036</v>
      </c>
      <c r="F59" s="300"/>
      <c r="G59" s="301">
        <v>-16528</v>
      </c>
      <c r="H59" s="300"/>
      <c r="I59" s="301">
        <v>-12886</v>
      </c>
      <c r="J59" s="306"/>
      <c r="K59" s="310">
        <v>-61005</v>
      </c>
      <c r="L59" s="303"/>
      <c r="M59" s="301">
        <v>-16969</v>
      </c>
      <c r="N59" s="306"/>
      <c r="O59" s="301">
        <v>-20106</v>
      </c>
      <c r="P59" s="306"/>
      <c r="Q59" s="301">
        <v>-18769</v>
      </c>
      <c r="R59" s="306"/>
      <c r="S59" s="301">
        <v>-19265</v>
      </c>
      <c r="T59" s="306"/>
      <c r="U59" s="310">
        <f t="shared" ref="U59" si="77">+M59+O59+Q59+S59</f>
        <v>-75109</v>
      </c>
      <c r="V59" s="311"/>
      <c r="W59" s="301">
        <v>-17150</v>
      </c>
      <c r="X59" s="306"/>
      <c r="Y59" s="301">
        <v>-22203</v>
      </c>
      <c r="Z59" s="306"/>
      <c r="AA59" s="301">
        <v>-19956</v>
      </c>
      <c r="AB59" s="306"/>
      <c r="AC59" s="301">
        <f>AE59-W59-Y59-AA59</f>
        <v>-19035</v>
      </c>
      <c r="AD59" s="308"/>
      <c r="AE59" s="310">
        <v>-78344</v>
      </c>
      <c r="AF59" s="309"/>
      <c r="AG59" s="301">
        <f>AG52</f>
        <v>-22730</v>
      </c>
      <c r="AH59" s="391"/>
      <c r="AI59" s="449">
        <f>AI52</f>
        <v>-22637</v>
      </c>
      <c r="AJ59" s="300"/>
    </row>
    <row r="60" spans="1:37" s="229" customFormat="1" x14ac:dyDescent="0.35">
      <c r="O60" s="235"/>
      <c r="Q60" s="235"/>
      <c r="U60" s="235"/>
      <c r="Y60" s="235"/>
      <c r="AA60" s="235"/>
      <c r="AB60" s="235"/>
      <c r="AI60" s="235"/>
    </row>
    <row r="61" spans="1:37" s="229" customFormat="1" ht="15" thickBot="1" x14ac:dyDescent="0.4">
      <c r="A61" s="102"/>
      <c r="O61" s="235"/>
      <c r="Q61" s="235"/>
      <c r="U61" s="235"/>
      <c r="Y61" s="235"/>
      <c r="AA61" s="235"/>
      <c r="AB61" s="235"/>
      <c r="AI61" s="235"/>
    </row>
    <row r="62" spans="1:37" s="229" customFormat="1" ht="15" thickBot="1" x14ac:dyDescent="0.4">
      <c r="A62" s="504" t="s">
        <v>166</v>
      </c>
      <c r="B62" s="505" t="s">
        <v>167</v>
      </c>
      <c r="C62" s="496" t="s">
        <v>49</v>
      </c>
      <c r="D62" s="497"/>
      <c r="E62" s="496" t="s">
        <v>50</v>
      </c>
      <c r="F62" s="497"/>
      <c r="G62" s="496" t="s">
        <v>51</v>
      </c>
      <c r="H62" s="497"/>
      <c r="I62" s="496" t="s">
        <v>52</v>
      </c>
      <c r="J62" s="497"/>
      <c r="K62" s="496">
        <v>2021</v>
      </c>
      <c r="L62" s="497"/>
      <c r="M62" s="496" t="s">
        <v>53</v>
      </c>
      <c r="N62" s="497"/>
      <c r="O62" s="496" t="s">
        <v>54</v>
      </c>
      <c r="P62" s="497"/>
      <c r="Q62" s="496" t="s">
        <v>55</v>
      </c>
      <c r="R62" s="497"/>
      <c r="S62" s="496" t="s">
        <v>56</v>
      </c>
      <c r="T62" s="497"/>
      <c r="U62" s="496">
        <v>2022</v>
      </c>
      <c r="V62" s="497"/>
      <c r="W62" s="496" t="s">
        <v>57</v>
      </c>
      <c r="X62" s="497"/>
      <c r="Y62" s="496" t="s">
        <v>58</v>
      </c>
      <c r="Z62" s="497"/>
      <c r="AA62" s="496" t="s">
        <v>59</v>
      </c>
      <c r="AB62" s="497"/>
      <c r="AC62" s="496" t="s">
        <v>60</v>
      </c>
      <c r="AD62" s="497"/>
      <c r="AE62" s="498">
        <v>2023</v>
      </c>
      <c r="AF62" s="499"/>
      <c r="AG62" s="496" t="s">
        <v>61</v>
      </c>
      <c r="AH62" s="497"/>
      <c r="AI62" s="496" t="s">
        <v>1166</v>
      </c>
      <c r="AJ62" s="497"/>
    </row>
    <row r="63" spans="1:37" s="229" customFormat="1" ht="23.5" thickTop="1" x14ac:dyDescent="0.35">
      <c r="A63" s="504"/>
      <c r="B63" s="505"/>
      <c r="C63" s="230" t="s">
        <v>62</v>
      </c>
      <c r="D63" s="230" t="s">
        <v>627</v>
      </c>
      <c r="E63" s="230" t="s">
        <v>62</v>
      </c>
      <c r="F63" s="230" t="s">
        <v>627</v>
      </c>
      <c r="G63" s="230" t="s">
        <v>62</v>
      </c>
      <c r="H63" s="230" t="s">
        <v>627</v>
      </c>
      <c r="I63" s="230" t="s">
        <v>62</v>
      </c>
      <c r="J63" s="230" t="s">
        <v>627</v>
      </c>
      <c r="K63" s="230" t="s">
        <v>62</v>
      </c>
      <c r="L63" s="230" t="s">
        <v>627</v>
      </c>
      <c r="M63" s="230" t="s">
        <v>62</v>
      </c>
      <c r="N63" s="230" t="s">
        <v>627</v>
      </c>
      <c r="O63" s="230" t="s">
        <v>62</v>
      </c>
      <c r="P63" s="230" t="s">
        <v>627</v>
      </c>
      <c r="Q63" s="230" t="s">
        <v>62</v>
      </c>
      <c r="R63" s="230" t="s">
        <v>627</v>
      </c>
      <c r="S63" s="230" t="s">
        <v>62</v>
      </c>
      <c r="T63" s="230" t="s">
        <v>627</v>
      </c>
      <c r="U63" s="230" t="s">
        <v>62</v>
      </c>
      <c r="V63" s="230" t="s">
        <v>627</v>
      </c>
      <c r="W63" s="230" t="s">
        <v>62</v>
      </c>
      <c r="X63" s="230" t="s">
        <v>627</v>
      </c>
      <c r="Y63" s="230" t="s">
        <v>62</v>
      </c>
      <c r="Z63" s="230" t="s">
        <v>627</v>
      </c>
      <c r="AA63" s="230" t="s">
        <v>62</v>
      </c>
      <c r="AB63" s="230" t="s">
        <v>627</v>
      </c>
      <c r="AC63" s="230" t="s">
        <v>62</v>
      </c>
      <c r="AD63" s="230" t="s">
        <v>627</v>
      </c>
      <c r="AE63" s="230" t="s">
        <v>62</v>
      </c>
      <c r="AF63" s="230" t="s">
        <v>627</v>
      </c>
      <c r="AG63" s="230" t="s">
        <v>62</v>
      </c>
      <c r="AH63" s="230" t="s">
        <v>627</v>
      </c>
      <c r="AI63" s="230" t="s">
        <v>62</v>
      </c>
      <c r="AJ63" s="230" t="s">
        <v>627</v>
      </c>
    </row>
    <row r="64" spans="1:37" s="229" customFormat="1" x14ac:dyDescent="0.35">
      <c r="A64" s="286" t="s">
        <v>643</v>
      </c>
      <c r="B64" s="286" t="s">
        <v>629</v>
      </c>
      <c r="C64" s="289">
        <v>-27002</v>
      </c>
      <c r="D64" s="288">
        <f t="shared" ref="D64:D69" si="78">C64/$C$64</f>
        <v>1</v>
      </c>
      <c r="E64" s="289">
        <v>-25676</v>
      </c>
      <c r="F64" s="288">
        <f t="shared" ref="F64:F69" si="79">E64/$E$64</f>
        <v>1</v>
      </c>
      <c r="G64" s="289">
        <v>-25304</v>
      </c>
      <c r="H64" s="288">
        <f>G64/$G$64</f>
        <v>1</v>
      </c>
      <c r="I64" s="289">
        <v>-28804</v>
      </c>
      <c r="J64" s="288">
        <f t="shared" ref="J64:J69" si="80">I64/$I$64</f>
        <v>1</v>
      </c>
      <c r="K64" s="297">
        <v>-106786</v>
      </c>
      <c r="L64" s="294">
        <f>K64/$K$64</f>
        <v>1</v>
      </c>
      <c r="M64" s="289">
        <v>-30453</v>
      </c>
      <c r="N64" s="288">
        <f>M64/$M$64</f>
        <v>1</v>
      </c>
      <c r="O64" s="289">
        <v>-32708</v>
      </c>
      <c r="P64" s="288">
        <f>O64/$O$64</f>
        <v>1</v>
      </c>
      <c r="Q64" s="289">
        <v>-33795</v>
      </c>
      <c r="R64" s="288">
        <f>Q64/$Q$64</f>
        <v>1</v>
      </c>
      <c r="S64" s="289">
        <v>-41635</v>
      </c>
      <c r="T64" s="288">
        <f>S64/$S$64</f>
        <v>1</v>
      </c>
      <c r="U64" s="297">
        <f>+M64+O64+Q64+S64</f>
        <v>-138591</v>
      </c>
      <c r="V64" s="294">
        <f>U64/$U$64</f>
        <v>1</v>
      </c>
      <c r="W64" s="289">
        <v>-34725</v>
      </c>
      <c r="X64" s="288">
        <f>W64/$W$64</f>
        <v>1</v>
      </c>
      <c r="Y64" s="289">
        <v>-36955</v>
      </c>
      <c r="Z64" s="288">
        <f>Y64/$Y$64</f>
        <v>1</v>
      </c>
      <c r="AA64" s="289">
        <v>-34392</v>
      </c>
      <c r="AB64" s="288">
        <f>AA64/$AA$64</f>
        <v>1</v>
      </c>
      <c r="AC64" s="289">
        <f>AE64-W64-Y64-AA64</f>
        <v>-35371</v>
      </c>
      <c r="AD64" s="290">
        <f>AC64/$AC$64</f>
        <v>1</v>
      </c>
      <c r="AE64" s="297">
        <v>-141443</v>
      </c>
      <c r="AF64" s="292">
        <f>AE64/$AE$64</f>
        <v>1</v>
      </c>
      <c r="AG64" s="289">
        <f>SUM(AG65:AG69)</f>
        <v>-38481</v>
      </c>
      <c r="AH64" s="389">
        <f>AG64/$AG$64</f>
        <v>1</v>
      </c>
      <c r="AI64" s="450">
        <f>SUM(AI65:AI69)</f>
        <v>-40983</v>
      </c>
      <c r="AJ64" s="288">
        <f>AI64/$AI$64</f>
        <v>1</v>
      </c>
      <c r="AK64" s="233">
        <f>SUM(AJ65:AJ69)</f>
        <v>1.0000000000000002</v>
      </c>
    </row>
    <row r="65" spans="1:36" s="229" customFormat="1" x14ac:dyDescent="0.35">
      <c r="A65" s="118" t="s">
        <v>630</v>
      </c>
      <c r="B65" s="118" t="s">
        <v>631</v>
      </c>
      <c r="C65" s="8">
        <v>-533</v>
      </c>
      <c r="D65" s="28">
        <f t="shared" si="78"/>
        <v>1.9739278571957633E-2</v>
      </c>
      <c r="E65" s="8">
        <v>-600</v>
      </c>
      <c r="F65" s="28">
        <f t="shared" si="79"/>
        <v>2.336812587630472E-2</v>
      </c>
      <c r="G65" s="8">
        <v>-455</v>
      </c>
      <c r="H65" s="28">
        <f>G65/$G$64</f>
        <v>1.7981346822636739E-2</v>
      </c>
      <c r="I65" s="8">
        <v>-766</v>
      </c>
      <c r="J65" s="28">
        <f t="shared" si="80"/>
        <v>2.6593528676572699E-2</v>
      </c>
      <c r="K65" s="253">
        <v>-2354</v>
      </c>
      <c r="L65" s="240">
        <f t="shared" ref="L65" si="81">K65/$K$64</f>
        <v>2.2044088176352707E-2</v>
      </c>
      <c r="M65" s="8">
        <v>-588</v>
      </c>
      <c r="N65" s="28">
        <f t="shared" ref="N65:N69" si="82">M65/$M$64</f>
        <v>1.9308442517978523E-2</v>
      </c>
      <c r="O65" s="8">
        <v>-761</v>
      </c>
      <c r="P65" s="28">
        <f t="shared" ref="P65:P69" si="83">O65/$O$64</f>
        <v>2.3266479148832089E-2</v>
      </c>
      <c r="Q65" s="8">
        <v>-668</v>
      </c>
      <c r="R65" s="28">
        <f t="shared" ref="R65:R69" si="84">Q65/$Q$64</f>
        <v>1.9766237609113776E-2</v>
      </c>
      <c r="S65" s="8">
        <v>-1160</v>
      </c>
      <c r="T65" s="28">
        <f t="shared" ref="T65:T69" si="85">S65/$S$64</f>
        <v>2.7861174492614386E-2</v>
      </c>
      <c r="U65" s="253">
        <v>-3177</v>
      </c>
      <c r="V65" s="240">
        <f t="shared" ref="V65:V69" si="86">U65/$U$64</f>
        <v>2.2923566465354893E-2</v>
      </c>
      <c r="W65" s="8">
        <v>-796</v>
      </c>
      <c r="X65" s="222">
        <f t="shared" ref="X65:X69" si="87">W65/$W$64</f>
        <v>2.2922966162706983E-2</v>
      </c>
      <c r="Y65" s="8">
        <v>-800.65762594494777</v>
      </c>
      <c r="Z65" s="222">
        <f>Y65/$Y$64</f>
        <v>2.1665745526855573E-2</v>
      </c>
      <c r="AA65" s="8">
        <v>-1011.3423740550522</v>
      </c>
      <c r="AB65" s="222">
        <f t="shared" ref="AB65:AB69" si="88">AA65/$AA$64</f>
        <v>2.9406326298413939E-2</v>
      </c>
      <c r="AC65" s="8">
        <f t="shared" ref="AC65:AC70" si="89">AE65-W65-Y65-AA65</f>
        <v>-766</v>
      </c>
      <c r="AD65" s="123">
        <f t="shared" ref="AD65:AD66" si="90">AC65/$AC$64</f>
        <v>2.1656159000310989E-2</v>
      </c>
      <c r="AE65" s="149">
        <v>-3374</v>
      </c>
      <c r="AF65" s="232">
        <f t="shared" ref="AF65:AF69" si="91">AE65/$AE$64</f>
        <v>2.3854132053194574E-2</v>
      </c>
      <c r="AG65" s="8">
        <v>-1010</v>
      </c>
      <c r="AH65" s="390">
        <f>AG65/$AG$64</f>
        <v>2.6246719160104987E-2</v>
      </c>
      <c r="AI65" s="347">
        <v>-1077</v>
      </c>
      <c r="AJ65" s="28">
        <f t="shared" ref="AJ65:AJ69" si="92">AI65/$AI$64</f>
        <v>2.6279188931996194E-2</v>
      </c>
    </row>
    <row r="66" spans="1:36" s="229" customFormat="1" x14ac:dyDescent="0.35">
      <c r="A66" s="118" t="s">
        <v>632</v>
      </c>
      <c r="B66" s="118" t="s">
        <v>633</v>
      </c>
      <c r="C66" s="8">
        <v>-14637</v>
      </c>
      <c r="D66" s="28">
        <f t="shared" si="78"/>
        <v>0.54207095770683655</v>
      </c>
      <c r="E66" s="8">
        <v>-14710</v>
      </c>
      <c r="F66" s="28">
        <f t="shared" si="79"/>
        <v>0.57290855273407071</v>
      </c>
      <c r="G66" s="8">
        <v>-13794</v>
      </c>
      <c r="H66" s="28">
        <f>G66/$G$64</f>
        <v>0.54513120455263986</v>
      </c>
      <c r="I66" s="8">
        <v>-15688</v>
      </c>
      <c r="J66" s="28">
        <f t="shared" si="80"/>
        <v>0.54464657686432438</v>
      </c>
      <c r="K66" s="253">
        <v>-58829</v>
      </c>
      <c r="L66" s="240">
        <f>K66/$K$64</f>
        <v>0.5509055494165902</v>
      </c>
      <c r="M66" s="8">
        <v>-17142</v>
      </c>
      <c r="N66" s="28">
        <f t="shared" si="82"/>
        <v>0.56290020687616982</v>
      </c>
      <c r="O66" s="8">
        <v>-18657</v>
      </c>
      <c r="P66" s="28">
        <f t="shared" si="83"/>
        <v>0.57041090864620281</v>
      </c>
      <c r="Q66" s="8">
        <v>-19311</v>
      </c>
      <c r="R66" s="28">
        <f t="shared" si="84"/>
        <v>0.57141588992454506</v>
      </c>
      <c r="S66" s="8">
        <v>-24531</v>
      </c>
      <c r="T66" s="28">
        <f t="shared" si="85"/>
        <v>0.58919178575717546</v>
      </c>
      <c r="U66" s="253">
        <v>-79641</v>
      </c>
      <c r="V66" s="240">
        <f t="shared" si="86"/>
        <v>0.57464770439638935</v>
      </c>
      <c r="W66" s="8">
        <v>-19955</v>
      </c>
      <c r="X66" s="222">
        <f t="shared" si="87"/>
        <v>0.57465802735781135</v>
      </c>
      <c r="Y66" s="8">
        <v>-22271.630503779794</v>
      </c>
      <c r="Z66" s="222">
        <f t="shared" ref="Z66:Z69" si="93">Y66/$Y$64</f>
        <v>0.60266893529373</v>
      </c>
      <c r="AA66" s="8">
        <v>-22487.369496220206</v>
      </c>
      <c r="AB66" s="222">
        <f t="shared" si="88"/>
        <v>0.65385466085776356</v>
      </c>
      <c r="AC66" s="8">
        <f>AE66-W66-Y66-AA66</f>
        <v>-20223</v>
      </c>
      <c r="AD66" s="123">
        <f t="shared" si="90"/>
        <v>0.57173956065703546</v>
      </c>
      <c r="AE66" s="149">
        <v>-84937</v>
      </c>
      <c r="AF66" s="232">
        <f t="shared" si="91"/>
        <v>0.60050338298820016</v>
      </c>
      <c r="AG66" s="8">
        <v>-22657</v>
      </c>
      <c r="AH66" s="390">
        <f t="shared" ref="AH66:AH69" si="94">AG66/$AG$64</f>
        <v>0.58878407525791954</v>
      </c>
      <c r="AI66" s="347">
        <v>-24257</v>
      </c>
      <c r="AJ66" s="28">
        <f t="shared" si="92"/>
        <v>0.5918795598174853</v>
      </c>
    </row>
    <row r="67" spans="1:36" s="229" customFormat="1" x14ac:dyDescent="0.35">
      <c r="A67" s="118" t="s">
        <v>634</v>
      </c>
      <c r="B67" s="118" t="s">
        <v>635</v>
      </c>
      <c r="C67" s="8">
        <v>-1110</v>
      </c>
      <c r="D67" s="28">
        <f t="shared" si="78"/>
        <v>4.1108066069180063E-2</v>
      </c>
      <c r="E67" s="8">
        <v>-1275</v>
      </c>
      <c r="F67" s="28">
        <f t="shared" si="79"/>
        <v>4.9657267487147529E-2</v>
      </c>
      <c r="G67" s="8">
        <v>-1252</v>
      </c>
      <c r="H67" s="28">
        <f>G67/$G$64</f>
        <v>4.94783433449257E-2</v>
      </c>
      <c r="I67" s="8">
        <v>-1005</v>
      </c>
      <c r="J67" s="28">
        <f t="shared" si="80"/>
        <v>3.489098736286627E-2</v>
      </c>
      <c r="K67" s="253">
        <v>-4642</v>
      </c>
      <c r="L67" s="240">
        <f>K67/$K$64</f>
        <v>4.3470117805704866E-2</v>
      </c>
      <c r="M67" s="8">
        <v>-1598</v>
      </c>
      <c r="N67" s="28">
        <f t="shared" si="82"/>
        <v>5.2474304666206943E-2</v>
      </c>
      <c r="O67" s="8">
        <v>-1456</v>
      </c>
      <c r="P67" s="28">
        <f t="shared" si="83"/>
        <v>4.4515103338632747E-2</v>
      </c>
      <c r="Q67" s="8">
        <v>-1589</v>
      </c>
      <c r="R67" s="28">
        <f t="shared" si="84"/>
        <v>4.701878976179908E-2</v>
      </c>
      <c r="S67" s="8">
        <v>-1478</v>
      </c>
      <c r="T67" s="28">
        <f t="shared" si="85"/>
        <v>3.54989792242104E-2</v>
      </c>
      <c r="U67" s="253">
        <v>-6121</v>
      </c>
      <c r="V67" s="240">
        <f t="shared" si="86"/>
        <v>4.4165927080402047E-2</v>
      </c>
      <c r="W67" s="8">
        <v>-1534</v>
      </c>
      <c r="X67" s="222">
        <f t="shared" si="87"/>
        <v>4.4175665946724264E-2</v>
      </c>
      <c r="Y67" s="8">
        <v>-1390.4480350856943</v>
      </c>
      <c r="Z67" s="222">
        <f t="shared" si="93"/>
        <v>3.7625437290913118E-2</v>
      </c>
      <c r="AA67" s="8">
        <v>-1196.5519649143057</v>
      </c>
      <c r="AB67" s="222">
        <f t="shared" si="88"/>
        <v>3.4791578416908164E-2</v>
      </c>
      <c r="AC67" s="8">
        <f t="shared" si="89"/>
        <v>-2517</v>
      </c>
      <c r="AD67" s="123">
        <f>AC67/$AC$64</f>
        <v>7.1159989822170699E-2</v>
      </c>
      <c r="AE67" s="149">
        <v>-6638</v>
      </c>
      <c r="AF67" s="232">
        <f t="shared" si="91"/>
        <v>4.6930565669563003E-2</v>
      </c>
      <c r="AG67" s="8">
        <v>-1753</v>
      </c>
      <c r="AH67" s="390">
        <f t="shared" si="94"/>
        <v>4.5554949195706969E-2</v>
      </c>
      <c r="AI67" s="347">
        <v>-1865</v>
      </c>
      <c r="AJ67" s="28">
        <f t="shared" si="92"/>
        <v>4.5506673498767782E-2</v>
      </c>
    </row>
    <row r="68" spans="1:36" s="229" customFormat="1" x14ac:dyDescent="0.35">
      <c r="A68" s="118" t="s">
        <v>636</v>
      </c>
      <c r="B68" s="118" t="s">
        <v>636</v>
      </c>
      <c r="C68" s="8">
        <v>-10512</v>
      </c>
      <c r="D68" s="28">
        <f t="shared" si="78"/>
        <v>0.389304495963262</v>
      </c>
      <c r="E68" s="8">
        <v>-8920</v>
      </c>
      <c r="F68" s="28">
        <f t="shared" si="79"/>
        <v>0.34740613802773018</v>
      </c>
      <c r="G68" s="8">
        <v>-9533</v>
      </c>
      <c r="H68" s="28">
        <f t="shared" ref="H68" si="95">G68/$G$64</f>
        <v>0.37673885551691433</v>
      </c>
      <c r="I68" s="8">
        <v>-11243</v>
      </c>
      <c r="J68" s="28">
        <f t="shared" si="80"/>
        <v>0.39032773225940842</v>
      </c>
      <c r="K68" s="253">
        <v>-40208</v>
      </c>
      <c r="L68" s="240">
        <f>K68/$K$64</f>
        <v>0.37652875845148243</v>
      </c>
      <c r="M68" s="8">
        <v>-10701</v>
      </c>
      <c r="N68" s="28">
        <f t="shared" si="82"/>
        <v>0.35139395133484386</v>
      </c>
      <c r="O68" s="8">
        <v>-11508</v>
      </c>
      <c r="P68" s="28">
        <f t="shared" si="83"/>
        <v>0.35184052831111656</v>
      </c>
      <c r="Q68" s="8">
        <v>-11994</v>
      </c>
      <c r="R68" s="28">
        <f t="shared" si="84"/>
        <v>0.35490457168220152</v>
      </c>
      <c r="S68" s="8">
        <v>-14290</v>
      </c>
      <c r="T68" s="28">
        <f t="shared" si="85"/>
        <v>0.34322084784436169</v>
      </c>
      <c r="U68" s="253">
        <v>-48493</v>
      </c>
      <c r="V68" s="240">
        <f t="shared" si="86"/>
        <v>0.34990006566082937</v>
      </c>
      <c r="W68" s="8">
        <v>-12150</v>
      </c>
      <c r="X68" s="222">
        <f t="shared" si="87"/>
        <v>0.34989200863930886</v>
      </c>
      <c r="Y68" s="8">
        <v>-12118.368630619196</v>
      </c>
      <c r="Z68" s="222">
        <f t="shared" si="93"/>
        <v>0.3279223009232633</v>
      </c>
      <c r="AA68" s="8">
        <v>-9523.6313693808042</v>
      </c>
      <c r="AB68" s="222">
        <f t="shared" si="88"/>
        <v>0.27691414774891848</v>
      </c>
      <c r="AC68" s="8">
        <f t="shared" si="89"/>
        <v>-11437</v>
      </c>
      <c r="AD68" s="123">
        <f>AC68/$AC$64</f>
        <v>0.3233439823584292</v>
      </c>
      <c r="AE68" s="149">
        <v>-45229</v>
      </c>
      <c r="AF68" s="232">
        <f t="shared" si="91"/>
        <v>0.31976838726554158</v>
      </c>
      <c r="AG68" s="8">
        <v>-12609</v>
      </c>
      <c r="AH68" s="390">
        <f t="shared" si="94"/>
        <v>0.32766819989085522</v>
      </c>
      <c r="AI68" s="347">
        <v>-13303</v>
      </c>
      <c r="AJ68" s="28">
        <f t="shared" si="92"/>
        <v>0.32459800405045997</v>
      </c>
    </row>
    <row r="69" spans="1:36" s="229" customFormat="1" x14ac:dyDescent="0.35">
      <c r="A69" s="118" t="s">
        <v>637</v>
      </c>
      <c r="B69" s="118" t="s">
        <v>638</v>
      </c>
      <c r="C69" s="8">
        <f>C64-C65-C66-C67-C68</f>
        <v>-210</v>
      </c>
      <c r="D69" s="242">
        <f t="shared" si="78"/>
        <v>7.7772016887637952E-3</v>
      </c>
      <c r="E69" s="8">
        <f>E64-E65-E66-E67-E68</f>
        <v>-171</v>
      </c>
      <c r="F69" s="242">
        <f t="shared" si="79"/>
        <v>6.659915874746845E-3</v>
      </c>
      <c r="G69" s="8">
        <f>G64-G65-G66-G67-G68</f>
        <v>-270</v>
      </c>
      <c r="H69" s="242">
        <f>G69/$G$64</f>
        <v>1.0670249762883338E-2</v>
      </c>
      <c r="I69" s="8">
        <f>I64-I65-I66-I67-I68</f>
        <v>-102</v>
      </c>
      <c r="J69" s="242">
        <f t="shared" si="80"/>
        <v>3.5411748368282185E-3</v>
      </c>
      <c r="K69" s="149">
        <f>K64-K65-K66-K67-K68</f>
        <v>-753</v>
      </c>
      <c r="L69" s="240">
        <f>K69/$K$64</f>
        <v>7.0514861498698327E-3</v>
      </c>
      <c r="M69" s="243">
        <v>-424</v>
      </c>
      <c r="N69" s="242">
        <f t="shared" si="82"/>
        <v>1.392309460480084E-2</v>
      </c>
      <c r="O69" s="243">
        <v>-326</v>
      </c>
      <c r="P69" s="242">
        <f t="shared" si="83"/>
        <v>9.9669805552158493E-3</v>
      </c>
      <c r="Q69" s="8">
        <v>-233</v>
      </c>
      <c r="R69" s="242">
        <f t="shared" si="84"/>
        <v>6.8945110223405832E-3</v>
      </c>
      <c r="S69" s="8">
        <f>S64-S65-S66-S67-S68</f>
        <v>-176</v>
      </c>
      <c r="T69" s="242">
        <f t="shared" si="85"/>
        <v>4.2272126816380448E-3</v>
      </c>
      <c r="U69" s="149">
        <f t="shared" ref="U69:U71" si="96">+M69+O69+Q69+S69</f>
        <v>-1159</v>
      </c>
      <c r="V69" s="240">
        <f t="shared" si="86"/>
        <v>8.3627363970243378E-3</v>
      </c>
      <c r="W69" s="8">
        <v>-290</v>
      </c>
      <c r="X69" s="222">
        <f t="shared" si="87"/>
        <v>8.3513318934485235E-3</v>
      </c>
      <c r="Y69" s="8">
        <v>-374</v>
      </c>
      <c r="Z69" s="222">
        <f t="shared" si="93"/>
        <v>1.0120416723041536E-2</v>
      </c>
      <c r="AA69" s="8">
        <v>-173</v>
      </c>
      <c r="AB69" s="222">
        <f t="shared" si="88"/>
        <v>5.030239590602466E-3</v>
      </c>
      <c r="AC69" s="8">
        <f>AE69-W69-Y69-AA69</f>
        <v>-428</v>
      </c>
      <c r="AD69" s="123">
        <f>AC69/$AC$64</f>
        <v>1.2100308162053659E-2</v>
      </c>
      <c r="AE69" s="149">
        <v>-1265</v>
      </c>
      <c r="AF69" s="232">
        <f t="shared" si="91"/>
        <v>8.9435320235006326E-3</v>
      </c>
      <c r="AG69" s="8">
        <v>-452</v>
      </c>
      <c r="AH69" s="390">
        <f t="shared" si="94"/>
        <v>1.1746056495413321E-2</v>
      </c>
      <c r="AI69" s="347">
        <v>-481</v>
      </c>
      <c r="AJ69" s="28">
        <f t="shared" si="92"/>
        <v>1.1736573701290779E-2</v>
      </c>
    </row>
    <row r="70" spans="1:36" s="229" customFormat="1" x14ac:dyDescent="0.35">
      <c r="A70" s="298" t="s">
        <v>639</v>
      </c>
      <c r="B70" s="298" t="s">
        <v>640</v>
      </c>
      <c r="C70" s="301">
        <f>+C71-C64</f>
        <v>-2056</v>
      </c>
      <c r="D70" s="300"/>
      <c r="E70" s="301">
        <f>+E71-E64</f>
        <v>-2012</v>
      </c>
      <c r="F70" s="300"/>
      <c r="G70" s="301">
        <f>+G71-G64</f>
        <v>-1743</v>
      </c>
      <c r="H70" s="300"/>
      <c r="I70" s="301">
        <f>+I71-I64</f>
        <v>-1999</v>
      </c>
      <c r="J70" s="306"/>
      <c r="K70" s="310">
        <f>+K71-K64</f>
        <v>-7810</v>
      </c>
      <c r="L70" s="307"/>
      <c r="M70" s="301">
        <v>-2053</v>
      </c>
      <c r="N70" s="306"/>
      <c r="O70" s="301">
        <v>-2224</v>
      </c>
      <c r="P70" s="301"/>
      <c r="Q70" s="301">
        <v>-2214</v>
      </c>
      <c r="R70" s="306"/>
      <c r="S70" s="301">
        <f>+S71-S64</f>
        <v>-2405</v>
      </c>
      <c r="T70" s="306"/>
      <c r="U70" s="310">
        <f>+M70+O70+Q70+S70</f>
        <v>-8896</v>
      </c>
      <c r="V70" s="311"/>
      <c r="W70" s="301">
        <v>-2181</v>
      </c>
      <c r="X70" s="306"/>
      <c r="Y70" s="301">
        <v>-1425</v>
      </c>
      <c r="Z70" s="306"/>
      <c r="AA70" s="301">
        <v>-413</v>
      </c>
      <c r="AB70" s="306"/>
      <c r="AC70" s="301">
        <f t="shared" si="89"/>
        <v>-585</v>
      </c>
      <c r="AD70" s="308"/>
      <c r="AE70" s="310">
        <v>-4604</v>
      </c>
      <c r="AF70" s="309"/>
      <c r="AG70" s="301">
        <v>-456</v>
      </c>
      <c r="AH70" s="391"/>
      <c r="AI70" s="449">
        <v>-881</v>
      </c>
      <c r="AJ70" s="300"/>
    </row>
    <row r="71" spans="1:36" s="229" customFormat="1" x14ac:dyDescent="0.35">
      <c r="A71" s="298" t="s">
        <v>641</v>
      </c>
      <c r="B71" s="298" t="s">
        <v>642</v>
      </c>
      <c r="C71" s="301">
        <v>-29058</v>
      </c>
      <c r="D71" s="300"/>
      <c r="E71" s="301">
        <v>-27688</v>
      </c>
      <c r="F71" s="300"/>
      <c r="G71" s="301">
        <v>-27047</v>
      </c>
      <c r="H71" s="300"/>
      <c r="I71" s="301">
        <v>-30803</v>
      </c>
      <c r="J71" s="306"/>
      <c r="K71" s="310">
        <v>-114596</v>
      </c>
      <c r="L71" s="307"/>
      <c r="M71" s="301">
        <v>-32506</v>
      </c>
      <c r="N71" s="306"/>
      <c r="O71" s="301">
        <v>-34932</v>
      </c>
      <c r="P71" s="306"/>
      <c r="Q71" s="301">
        <v>-36009</v>
      </c>
      <c r="R71" s="306"/>
      <c r="S71" s="301">
        <v>-44040</v>
      </c>
      <c r="T71" s="306"/>
      <c r="U71" s="310">
        <f t="shared" si="96"/>
        <v>-147487</v>
      </c>
      <c r="V71" s="311"/>
      <c r="W71" s="301">
        <v>-36906</v>
      </c>
      <c r="X71" s="306"/>
      <c r="Y71" s="301">
        <v>-38380</v>
      </c>
      <c r="Z71" s="306"/>
      <c r="AA71" s="301">
        <v>-34805</v>
      </c>
      <c r="AB71" s="306"/>
      <c r="AC71" s="301">
        <f>AE71-W71-Y71-AA71</f>
        <v>-35956</v>
      </c>
      <c r="AD71" s="308"/>
      <c r="AE71" s="310">
        <v>-146047</v>
      </c>
      <c r="AF71" s="309"/>
      <c r="AG71" s="301">
        <f>AG64+AG70</f>
        <v>-38937</v>
      </c>
      <c r="AH71" s="391"/>
      <c r="AI71" s="449">
        <f>AI64+AI70</f>
        <v>-41864</v>
      </c>
      <c r="AJ71" s="300"/>
    </row>
    <row r="72" spans="1:36" s="229" customFormat="1" x14ac:dyDescent="0.35">
      <c r="O72" s="235"/>
      <c r="Q72" s="235"/>
      <c r="U72" s="235"/>
      <c r="Y72" s="235"/>
      <c r="AA72" s="235"/>
      <c r="AB72" s="235"/>
      <c r="AI72" s="235"/>
    </row>
    <row r="73" spans="1:36" s="229" customFormat="1" ht="15" thickBot="1" x14ac:dyDescent="0.4">
      <c r="O73" s="235"/>
      <c r="Q73" s="235"/>
      <c r="U73" s="235"/>
      <c r="Y73" s="235"/>
      <c r="AA73" s="235"/>
      <c r="AB73" s="235"/>
      <c r="AI73" s="235"/>
    </row>
    <row r="74" spans="1:36" s="229" customFormat="1" ht="15" thickBot="1" x14ac:dyDescent="0.4">
      <c r="A74" s="504" t="s">
        <v>168</v>
      </c>
      <c r="B74" s="505" t="s">
        <v>169</v>
      </c>
      <c r="C74" s="496" t="s">
        <v>49</v>
      </c>
      <c r="D74" s="497"/>
      <c r="E74" s="496" t="s">
        <v>50</v>
      </c>
      <c r="F74" s="497"/>
      <c r="G74" s="496" t="s">
        <v>51</v>
      </c>
      <c r="H74" s="497"/>
      <c r="I74" s="496" t="s">
        <v>52</v>
      </c>
      <c r="J74" s="497"/>
      <c r="K74" s="496">
        <v>2021</v>
      </c>
      <c r="L74" s="497"/>
      <c r="M74" s="496" t="s">
        <v>53</v>
      </c>
      <c r="N74" s="497"/>
      <c r="O74" s="496" t="s">
        <v>54</v>
      </c>
      <c r="P74" s="497"/>
      <c r="Q74" s="496" t="s">
        <v>55</v>
      </c>
      <c r="R74" s="497"/>
      <c r="S74" s="496" t="s">
        <v>56</v>
      </c>
      <c r="T74" s="497"/>
      <c r="U74" s="496">
        <v>2022</v>
      </c>
      <c r="V74" s="497"/>
      <c r="W74" s="496" t="s">
        <v>57</v>
      </c>
      <c r="X74" s="497"/>
      <c r="Y74" s="496" t="s">
        <v>58</v>
      </c>
      <c r="Z74" s="497"/>
      <c r="AA74" s="496" t="s">
        <v>59</v>
      </c>
      <c r="AB74" s="497"/>
      <c r="AC74" s="496" t="s">
        <v>60</v>
      </c>
      <c r="AD74" s="497"/>
      <c r="AE74" s="498">
        <v>2023</v>
      </c>
      <c r="AF74" s="499"/>
      <c r="AG74" s="496" t="s">
        <v>61</v>
      </c>
      <c r="AH74" s="497"/>
      <c r="AI74" s="496" t="s">
        <v>1166</v>
      </c>
      <c r="AJ74" s="497"/>
    </row>
    <row r="75" spans="1:36" s="229" customFormat="1" ht="23.5" thickTop="1" x14ac:dyDescent="0.35">
      <c r="A75" s="504"/>
      <c r="B75" s="505"/>
      <c r="C75" s="230" t="s">
        <v>62</v>
      </c>
      <c r="D75" s="230" t="s">
        <v>627</v>
      </c>
      <c r="E75" s="230" t="s">
        <v>62</v>
      </c>
      <c r="F75" s="230" t="s">
        <v>627</v>
      </c>
      <c r="G75" s="230" t="s">
        <v>62</v>
      </c>
      <c r="H75" s="230" t="s">
        <v>627</v>
      </c>
      <c r="I75" s="230" t="s">
        <v>62</v>
      </c>
      <c r="J75" s="230" t="s">
        <v>627</v>
      </c>
      <c r="K75" s="230" t="s">
        <v>62</v>
      </c>
      <c r="L75" s="230" t="s">
        <v>627</v>
      </c>
      <c r="M75" s="230" t="s">
        <v>62</v>
      </c>
      <c r="N75" s="230" t="s">
        <v>627</v>
      </c>
      <c r="O75" s="230" t="s">
        <v>62</v>
      </c>
      <c r="P75" s="230" t="s">
        <v>627</v>
      </c>
      <c r="Q75" s="230" t="s">
        <v>62</v>
      </c>
      <c r="R75" s="230" t="s">
        <v>627</v>
      </c>
      <c r="S75" s="230" t="s">
        <v>62</v>
      </c>
      <c r="T75" s="230" t="s">
        <v>627</v>
      </c>
      <c r="U75" s="230" t="s">
        <v>62</v>
      </c>
      <c r="V75" s="230" t="s">
        <v>627</v>
      </c>
      <c r="W75" s="230" t="s">
        <v>62</v>
      </c>
      <c r="X75" s="230" t="s">
        <v>627</v>
      </c>
      <c r="Y75" s="230" t="s">
        <v>62</v>
      </c>
      <c r="Z75" s="230" t="s">
        <v>627</v>
      </c>
      <c r="AA75" s="230" t="s">
        <v>62</v>
      </c>
      <c r="AB75" s="230" t="s">
        <v>627</v>
      </c>
      <c r="AC75" s="230" t="s">
        <v>62</v>
      </c>
      <c r="AD75" s="230" t="s">
        <v>627</v>
      </c>
      <c r="AE75" s="230" t="s">
        <v>62</v>
      </c>
      <c r="AF75" s="230" t="s">
        <v>627</v>
      </c>
      <c r="AG75" s="230" t="s">
        <v>62</v>
      </c>
      <c r="AH75" s="230" t="s">
        <v>627</v>
      </c>
      <c r="AI75" s="230" t="s">
        <v>62</v>
      </c>
      <c r="AJ75" s="230" t="s">
        <v>627</v>
      </c>
    </row>
    <row r="76" spans="1:36" s="229" customFormat="1" x14ac:dyDescent="0.35">
      <c r="A76" s="286" t="s">
        <v>643</v>
      </c>
      <c r="B76" s="286" t="s">
        <v>629</v>
      </c>
      <c r="C76" s="289">
        <v>-6465</v>
      </c>
      <c r="D76" s="288">
        <f>C76/$C$76</f>
        <v>1</v>
      </c>
      <c r="E76" s="289">
        <v>-6526</v>
      </c>
      <c r="F76" s="288">
        <f>E76/$E$76</f>
        <v>1</v>
      </c>
      <c r="G76" s="289">
        <v>-6448</v>
      </c>
      <c r="H76" s="288">
        <f>G76/$G$76</f>
        <v>1</v>
      </c>
      <c r="I76" s="289">
        <v>-5732</v>
      </c>
      <c r="J76" s="288">
        <f>I76/$I$76</f>
        <v>1</v>
      </c>
      <c r="K76" s="297">
        <v>-25171</v>
      </c>
      <c r="L76" s="294">
        <f>K76/$K$76</f>
        <v>1</v>
      </c>
      <c r="M76" s="289">
        <v>-6425</v>
      </c>
      <c r="N76" s="288">
        <f>M76/$M$76</f>
        <v>1</v>
      </c>
      <c r="O76" s="289">
        <v>-7408</v>
      </c>
      <c r="P76" s="288">
        <f>O76/$O$76</f>
        <v>1</v>
      </c>
      <c r="Q76" s="289">
        <v>-7781</v>
      </c>
      <c r="R76" s="288">
        <f>Q76/$Q$76</f>
        <v>1</v>
      </c>
      <c r="S76" s="289">
        <v>-8904</v>
      </c>
      <c r="T76" s="288">
        <f>S76/$S$76</f>
        <v>1</v>
      </c>
      <c r="U76" s="297">
        <f>+M76+O76+Q76+S76</f>
        <v>-30518</v>
      </c>
      <c r="V76" s="294">
        <f>U76/$U$76</f>
        <v>1</v>
      </c>
      <c r="W76" s="289">
        <v>-11126</v>
      </c>
      <c r="X76" s="288">
        <f>W76/$W$76</f>
        <v>1</v>
      </c>
      <c r="Y76" s="289">
        <v>-12065</v>
      </c>
      <c r="Z76" s="288">
        <f>Y76/$Y$76</f>
        <v>1</v>
      </c>
      <c r="AA76" s="289">
        <v>-11524</v>
      </c>
      <c r="AB76" s="288">
        <f>AA76/$AA$76</f>
        <v>1</v>
      </c>
      <c r="AC76" s="289">
        <f t="shared" ref="AC76:AC83" si="97">AE76-W76-Y76-AA76</f>
        <v>-12126</v>
      </c>
      <c r="AD76" s="290">
        <f>AC76/$AC$76</f>
        <v>1</v>
      </c>
      <c r="AE76" s="297">
        <v>-46841</v>
      </c>
      <c r="AF76" s="292">
        <f>AE76/$AE$76</f>
        <v>1</v>
      </c>
      <c r="AG76" s="289">
        <f>SUM(AG77:AG81)</f>
        <v>-12539</v>
      </c>
      <c r="AH76" s="389">
        <f>AG76/$AG$76</f>
        <v>1</v>
      </c>
      <c r="AI76" s="450">
        <f>SUM(AI77:AI81)</f>
        <v>-13275</v>
      </c>
      <c r="AJ76" s="288">
        <f>AI76/$AI$76</f>
        <v>1</v>
      </c>
    </row>
    <row r="77" spans="1:36" s="229" customFormat="1" x14ac:dyDescent="0.35">
      <c r="A77" s="118" t="s">
        <v>630</v>
      </c>
      <c r="B77" s="118" t="s">
        <v>631</v>
      </c>
      <c r="C77" s="8">
        <v>-30</v>
      </c>
      <c r="D77" s="28">
        <f t="shared" ref="D77:D81" si="98">C77/$C$76</f>
        <v>4.6403712296983757E-3</v>
      </c>
      <c r="E77" s="8">
        <v>-72</v>
      </c>
      <c r="F77" s="28">
        <f t="shared" ref="F77:F81" si="99">E77/$E$76</f>
        <v>1.1032791909285933E-2</v>
      </c>
      <c r="G77" s="8">
        <v>-59</v>
      </c>
      <c r="H77" s="28">
        <f t="shared" ref="H77:H81" si="100">G77/$G$76</f>
        <v>9.1501240694789078E-3</v>
      </c>
      <c r="I77" s="8">
        <v>-72</v>
      </c>
      <c r="J77" s="28">
        <f t="shared" ref="J77:J81" si="101">I77/$I$76</f>
        <v>1.2561060711793441E-2</v>
      </c>
      <c r="K77" s="253">
        <v>-233</v>
      </c>
      <c r="L77" s="240">
        <f t="shared" ref="L77:L81" si="102">K77/$K$76</f>
        <v>9.2566842795280286E-3</v>
      </c>
      <c r="M77" s="8">
        <v>-77</v>
      </c>
      <c r="N77" s="28">
        <f t="shared" ref="N77:N81" si="103">M77/$M$76</f>
        <v>1.1984435797665369E-2</v>
      </c>
      <c r="O77" s="8">
        <v>-93</v>
      </c>
      <c r="P77" s="28">
        <f t="shared" ref="P77:P81" si="104">O77/$O$76</f>
        <v>1.2553995680345572E-2</v>
      </c>
      <c r="Q77" s="8">
        <v>-77</v>
      </c>
      <c r="R77" s="28">
        <f t="shared" ref="R77:R81" si="105">Q77/$Q$76</f>
        <v>9.8959002698881891E-3</v>
      </c>
      <c r="S77" s="8">
        <v>-130</v>
      </c>
      <c r="T77" s="28">
        <f t="shared" ref="T77:T81" si="106">S77/$S$76</f>
        <v>1.4600179694519317E-2</v>
      </c>
      <c r="U77" s="253">
        <v>-377</v>
      </c>
      <c r="V77" s="240">
        <f t="shared" ref="V77:V81" si="107">U77/$U$76</f>
        <v>1.23533652270791E-2</v>
      </c>
      <c r="W77" s="8">
        <v>-181</v>
      </c>
      <c r="X77" s="222">
        <f t="shared" ref="X77:X81" si="108">W77/$W$76</f>
        <v>1.6268200611181019E-2</v>
      </c>
      <c r="Y77" s="8">
        <v>-173</v>
      </c>
      <c r="Z77" s="222">
        <f t="shared" ref="Z77:Z81" si="109">Y77/$Y$76</f>
        <v>1.4338997099046829E-2</v>
      </c>
      <c r="AA77" s="8">
        <v>-208</v>
      </c>
      <c r="AB77" s="222">
        <f t="shared" ref="AB77:AB81" si="110">AA77/$AA$76</f>
        <v>1.8049288441513364E-2</v>
      </c>
      <c r="AC77" s="8">
        <f t="shared" si="97"/>
        <v>-208</v>
      </c>
      <c r="AD77" s="123">
        <f t="shared" ref="AD77:AD81" si="111">AC77/$AC$76</f>
        <v>1.7153224476331851E-2</v>
      </c>
      <c r="AE77" s="149">
        <v>-770</v>
      </c>
      <c r="AF77" s="232">
        <f t="shared" ref="AF77:AF81" si="112">AE77/$AE$76</f>
        <v>1.6438590124036635E-2</v>
      </c>
      <c r="AG77" s="8">
        <v>-245</v>
      </c>
      <c r="AH77" s="390">
        <f>AG77/$AG$76</f>
        <v>1.9539038200813461E-2</v>
      </c>
      <c r="AI77" s="347">
        <v>-255</v>
      </c>
      <c r="AJ77" s="28">
        <f t="shared" ref="AJ77:AJ81" si="113">AI77/$AI$76</f>
        <v>1.92090395480226E-2</v>
      </c>
    </row>
    <row r="78" spans="1:36" s="229" customFormat="1" x14ac:dyDescent="0.35">
      <c r="A78" s="118" t="s">
        <v>632</v>
      </c>
      <c r="B78" s="118" t="s">
        <v>633</v>
      </c>
      <c r="C78" s="8">
        <v>-2563</v>
      </c>
      <c r="D78" s="28">
        <f t="shared" si="98"/>
        <v>0.39644238205723126</v>
      </c>
      <c r="E78" s="8">
        <v>-2620</v>
      </c>
      <c r="F78" s="28">
        <f t="shared" si="99"/>
        <v>0.40147103892123814</v>
      </c>
      <c r="G78" s="8">
        <v>-2493</v>
      </c>
      <c r="H78" s="28">
        <f t="shared" si="100"/>
        <v>0.3866315136476427</v>
      </c>
      <c r="I78" s="8">
        <v>-2206</v>
      </c>
      <c r="J78" s="28">
        <f t="shared" si="101"/>
        <v>0.38485694347522681</v>
      </c>
      <c r="K78" s="253">
        <v>-9882</v>
      </c>
      <c r="L78" s="240">
        <f t="shared" si="102"/>
        <v>0.3925946525763776</v>
      </c>
      <c r="M78" s="8">
        <v>-2593</v>
      </c>
      <c r="N78" s="28">
        <f t="shared" si="103"/>
        <v>0.40357976653696498</v>
      </c>
      <c r="O78" s="8">
        <v>-3316</v>
      </c>
      <c r="P78" s="28">
        <f t="shared" si="104"/>
        <v>0.44762419006479481</v>
      </c>
      <c r="Q78" s="8">
        <v>-3516</v>
      </c>
      <c r="R78" s="28">
        <f t="shared" si="105"/>
        <v>0.45186993959645289</v>
      </c>
      <c r="S78" s="8">
        <v>-3941</v>
      </c>
      <c r="T78" s="28">
        <f t="shared" si="106"/>
        <v>0.44261006289308175</v>
      </c>
      <c r="U78" s="253">
        <v>-13366</v>
      </c>
      <c r="V78" s="240">
        <f t="shared" si="107"/>
        <v>0.43797103348843308</v>
      </c>
      <c r="W78" s="8">
        <v>-5164</v>
      </c>
      <c r="X78" s="222">
        <f t="shared" si="108"/>
        <v>0.46413805500629157</v>
      </c>
      <c r="Y78" s="8">
        <v>-5132</v>
      </c>
      <c r="Z78" s="222">
        <f t="shared" si="109"/>
        <v>0.42536261914629092</v>
      </c>
      <c r="AA78" s="8">
        <v>-5388</v>
      </c>
      <c r="AB78" s="222">
        <f t="shared" si="110"/>
        <v>0.46754599097535576</v>
      </c>
      <c r="AC78" s="8">
        <f t="shared" si="97"/>
        <v>-5509</v>
      </c>
      <c r="AD78" s="123">
        <f t="shared" si="111"/>
        <v>0.45431304634669306</v>
      </c>
      <c r="AE78" s="149">
        <v>-21193</v>
      </c>
      <c r="AF78" s="232">
        <f t="shared" si="112"/>
        <v>0.45244550714117976</v>
      </c>
      <c r="AG78" s="8">
        <v>-6222</v>
      </c>
      <c r="AH78" s="390">
        <f t="shared" ref="AH78:AH81" si="114">AG78/$AG$76</f>
        <v>0.4962118191243321</v>
      </c>
      <c r="AI78" s="347">
        <v>-6281</v>
      </c>
      <c r="AJ78" s="28">
        <f t="shared" si="113"/>
        <v>0.47314500941619586</v>
      </c>
    </row>
    <row r="79" spans="1:36" s="229" customFormat="1" x14ac:dyDescent="0.35">
      <c r="A79" s="118" t="s">
        <v>634</v>
      </c>
      <c r="B79" s="118" t="s">
        <v>635</v>
      </c>
      <c r="C79" s="8">
        <v>-396</v>
      </c>
      <c r="D79" s="28">
        <f t="shared" si="98"/>
        <v>6.1252900232018563E-2</v>
      </c>
      <c r="E79" s="8">
        <v>-575</v>
      </c>
      <c r="F79" s="28">
        <f t="shared" si="99"/>
        <v>8.8109102053325158E-2</v>
      </c>
      <c r="G79" s="8">
        <v>-460</v>
      </c>
      <c r="H79" s="28">
        <f t="shared" si="100"/>
        <v>7.133995037220843E-2</v>
      </c>
      <c r="I79" s="8">
        <v>-457</v>
      </c>
      <c r="J79" s="28">
        <f t="shared" si="101"/>
        <v>7.9727843684577804E-2</v>
      </c>
      <c r="K79" s="253">
        <v>-1888</v>
      </c>
      <c r="L79" s="240">
        <f t="shared" si="102"/>
        <v>7.5006952445274319E-2</v>
      </c>
      <c r="M79" s="8">
        <v>-503</v>
      </c>
      <c r="N79" s="28">
        <f t="shared" si="103"/>
        <v>7.8287937743190664E-2</v>
      </c>
      <c r="O79" s="8">
        <v>-626</v>
      </c>
      <c r="P79" s="28">
        <f t="shared" si="104"/>
        <v>8.4503239740820732E-2</v>
      </c>
      <c r="Q79" s="8">
        <v>-458</v>
      </c>
      <c r="R79" s="28">
        <f t="shared" si="105"/>
        <v>5.8861328878036245E-2</v>
      </c>
      <c r="S79" s="8">
        <v>-728</v>
      </c>
      <c r="T79" s="28">
        <f t="shared" si="106"/>
        <v>8.1761006289308172E-2</v>
      </c>
      <c r="U79" s="253">
        <v>-2315</v>
      </c>
      <c r="V79" s="240">
        <f t="shared" si="107"/>
        <v>7.5856871354610389E-2</v>
      </c>
      <c r="W79" s="8">
        <v>-597</v>
      </c>
      <c r="X79" s="222">
        <f t="shared" si="108"/>
        <v>5.3658098148481034E-2</v>
      </c>
      <c r="Y79" s="8">
        <v>-1432</v>
      </c>
      <c r="Z79" s="222">
        <f t="shared" si="109"/>
        <v>0.11869042685453791</v>
      </c>
      <c r="AA79" s="8">
        <v>-947</v>
      </c>
      <c r="AB79" s="222">
        <f t="shared" si="110"/>
        <v>8.2176327664005552E-2</v>
      </c>
      <c r="AC79" s="8">
        <f t="shared" si="97"/>
        <v>-1076</v>
      </c>
      <c r="AD79" s="123">
        <f t="shared" si="111"/>
        <v>8.873494969487053E-2</v>
      </c>
      <c r="AE79" s="149">
        <v>-4052</v>
      </c>
      <c r="AF79" s="232">
        <f t="shared" si="112"/>
        <v>8.6505411925449929E-2</v>
      </c>
      <c r="AG79" s="8">
        <v>-912</v>
      </c>
      <c r="AH79" s="390">
        <f t="shared" si="114"/>
        <v>7.2733072812823985E-2</v>
      </c>
      <c r="AI79" s="347">
        <v>-1199</v>
      </c>
      <c r="AJ79" s="28">
        <f t="shared" si="113"/>
        <v>9.0320150659133708E-2</v>
      </c>
    </row>
    <row r="80" spans="1:36" s="229" customFormat="1" x14ac:dyDescent="0.35">
      <c r="A80" s="118" t="s">
        <v>636</v>
      </c>
      <c r="B80" s="118" t="s">
        <v>636</v>
      </c>
      <c r="C80" s="8">
        <v>-3245</v>
      </c>
      <c r="D80" s="28">
        <f t="shared" si="98"/>
        <v>0.50193348801237436</v>
      </c>
      <c r="E80" s="8">
        <v>-3025</v>
      </c>
      <c r="F80" s="28">
        <f t="shared" si="99"/>
        <v>0.46353049341097152</v>
      </c>
      <c r="G80" s="8">
        <v>-3220</v>
      </c>
      <c r="H80" s="28">
        <f t="shared" si="100"/>
        <v>0.49937965260545908</v>
      </c>
      <c r="I80" s="8">
        <v>-2862</v>
      </c>
      <c r="J80" s="28">
        <f t="shared" si="101"/>
        <v>0.49930216329378924</v>
      </c>
      <c r="K80" s="253">
        <v>-12352</v>
      </c>
      <c r="L80" s="240">
        <f t="shared" si="102"/>
        <v>0.49072345159111674</v>
      </c>
      <c r="M80" s="8">
        <v>-3047</v>
      </c>
      <c r="N80" s="28">
        <f t="shared" si="103"/>
        <v>0.47424124513618676</v>
      </c>
      <c r="O80" s="8">
        <v>-3129</v>
      </c>
      <c r="P80" s="28">
        <f t="shared" si="104"/>
        <v>0.42238120950323976</v>
      </c>
      <c r="Q80" s="8">
        <v>-3510</v>
      </c>
      <c r="R80" s="28">
        <f t="shared" si="105"/>
        <v>0.45109883048451355</v>
      </c>
      <c r="S80" s="8">
        <v>-3923</v>
      </c>
      <c r="T80" s="28">
        <f t="shared" si="106"/>
        <v>0.44058849955076368</v>
      </c>
      <c r="U80" s="253">
        <v>-13609</v>
      </c>
      <c r="V80" s="240">
        <f t="shared" si="107"/>
        <v>0.44593354741464053</v>
      </c>
      <c r="W80" s="8">
        <v>-4871</v>
      </c>
      <c r="X80" s="222">
        <f t="shared" si="108"/>
        <v>0.43780334351968364</v>
      </c>
      <c r="Y80" s="8">
        <v>-5073</v>
      </c>
      <c r="Z80" s="222">
        <f t="shared" si="109"/>
        <v>0.4204724409448819</v>
      </c>
      <c r="AA80" s="8">
        <v>-4742</v>
      </c>
      <c r="AB80" s="222">
        <f>AA80/$AA$76</f>
        <v>0.41148906629642484</v>
      </c>
      <c r="AC80" s="8">
        <f t="shared" si="97"/>
        <v>-5058</v>
      </c>
      <c r="AD80" s="123">
        <f t="shared" si="111"/>
        <v>0.41712023750618504</v>
      </c>
      <c r="AE80" s="149">
        <v>-19744</v>
      </c>
      <c r="AF80" s="232">
        <f t="shared" si="112"/>
        <v>0.42151106936231081</v>
      </c>
      <c r="AG80" s="8">
        <v>-4904</v>
      </c>
      <c r="AH80" s="390">
        <f t="shared" si="114"/>
        <v>0.39109976872158864</v>
      </c>
      <c r="AI80" s="347">
        <v>-5253</v>
      </c>
      <c r="AJ80" s="28">
        <f t="shared" si="113"/>
        <v>0.39570621468926553</v>
      </c>
    </row>
    <row r="81" spans="1:36" s="229" customFormat="1" x14ac:dyDescent="0.35">
      <c r="A81" s="118" t="s">
        <v>637</v>
      </c>
      <c r="B81" s="118" t="s">
        <v>638</v>
      </c>
      <c r="C81" s="8">
        <f>C76-C77-C78-C79-C80</f>
        <v>-231</v>
      </c>
      <c r="D81" s="242">
        <f t="shared" si="98"/>
        <v>3.5730858468677497E-2</v>
      </c>
      <c r="E81" s="8">
        <f>E76-E77-E78-E79-E80</f>
        <v>-234</v>
      </c>
      <c r="F81" s="242">
        <f t="shared" si="99"/>
        <v>3.5856573705179286E-2</v>
      </c>
      <c r="G81" s="8">
        <f>G76-G77-G78-G79-G80</f>
        <v>-216</v>
      </c>
      <c r="H81" s="242">
        <f t="shared" si="100"/>
        <v>3.3498759305210915E-2</v>
      </c>
      <c r="I81" s="252">
        <f>I76-I77-I78-I79-I80</f>
        <v>-135</v>
      </c>
      <c r="J81" s="242">
        <f t="shared" si="101"/>
        <v>2.3551988834612701E-2</v>
      </c>
      <c r="K81" s="149">
        <f>K76-K77-K78-K79-K80</f>
        <v>-816</v>
      </c>
      <c r="L81" s="240">
        <f t="shared" si="102"/>
        <v>3.2418259107703309E-2</v>
      </c>
      <c r="M81" s="8">
        <v>-205</v>
      </c>
      <c r="N81" s="242">
        <f t="shared" si="103"/>
        <v>3.1906614785992216E-2</v>
      </c>
      <c r="O81" s="8">
        <v>-244</v>
      </c>
      <c r="P81" s="242">
        <f t="shared" si="104"/>
        <v>3.2937365010799136E-2</v>
      </c>
      <c r="Q81" s="8">
        <v>-220</v>
      </c>
      <c r="R81" s="242">
        <f t="shared" si="105"/>
        <v>2.8274000771109111E-2</v>
      </c>
      <c r="S81" s="8">
        <f>S76-S77-S78-S79-S80</f>
        <v>-182</v>
      </c>
      <c r="T81" s="242">
        <f t="shared" si="106"/>
        <v>2.0440251572327043E-2</v>
      </c>
      <c r="U81" s="149">
        <f t="shared" ref="U81:U83" si="115">+M81+O81+Q81+S81</f>
        <v>-851</v>
      </c>
      <c r="V81" s="240">
        <f t="shared" si="107"/>
        <v>2.788518251523691E-2</v>
      </c>
      <c r="W81" s="8">
        <v>-313</v>
      </c>
      <c r="X81" s="222">
        <f t="shared" si="108"/>
        <v>2.8132302714362754E-2</v>
      </c>
      <c r="Y81" s="8">
        <v>-255</v>
      </c>
      <c r="Z81" s="222">
        <f t="shared" si="109"/>
        <v>2.1135515955242438E-2</v>
      </c>
      <c r="AA81" s="8">
        <v>-239</v>
      </c>
      <c r="AB81" s="222">
        <f t="shared" si="110"/>
        <v>2.0739326622700453E-2</v>
      </c>
      <c r="AC81" s="8">
        <f t="shared" si="97"/>
        <v>-275</v>
      </c>
      <c r="AD81" s="123">
        <f t="shared" si="111"/>
        <v>2.2678541975919512E-2</v>
      </c>
      <c r="AE81" s="149">
        <v>-1082</v>
      </c>
      <c r="AF81" s="232">
        <f t="shared" si="112"/>
        <v>2.3099421447022907E-2</v>
      </c>
      <c r="AG81" s="8">
        <v>-256</v>
      </c>
      <c r="AH81" s="390">
        <f t="shared" si="114"/>
        <v>2.0416301140441823E-2</v>
      </c>
      <c r="AI81" s="347">
        <v>-287</v>
      </c>
      <c r="AJ81" s="28">
        <f t="shared" si="113"/>
        <v>2.1619585687382297E-2</v>
      </c>
    </row>
    <row r="82" spans="1:36" s="229" customFormat="1" x14ac:dyDescent="0.35">
      <c r="A82" s="298" t="s">
        <v>639</v>
      </c>
      <c r="B82" s="298" t="s">
        <v>640</v>
      </c>
      <c r="C82" s="301">
        <f>+C83-C76</f>
        <v>-964</v>
      </c>
      <c r="D82" s="300"/>
      <c r="E82" s="301">
        <f>+E83-E76</f>
        <v>-887</v>
      </c>
      <c r="F82" s="300"/>
      <c r="G82" s="301">
        <f>+G83-G76</f>
        <v>-701</v>
      </c>
      <c r="H82" s="300"/>
      <c r="I82" s="301">
        <f>+I83-I76</f>
        <v>-942</v>
      </c>
      <c r="J82" s="306"/>
      <c r="K82" s="310">
        <f>+K83-K76</f>
        <v>-3494</v>
      </c>
      <c r="L82" s="307"/>
      <c r="M82" s="301">
        <v>-1068</v>
      </c>
      <c r="N82" s="306"/>
      <c r="O82" s="301">
        <v>-1123</v>
      </c>
      <c r="P82" s="301"/>
      <c r="Q82" s="301">
        <v>-1087</v>
      </c>
      <c r="R82" s="306"/>
      <c r="S82" s="301">
        <f>+S83-S76</f>
        <v>-1067</v>
      </c>
      <c r="T82" s="306"/>
      <c r="U82" s="310">
        <f t="shared" si="115"/>
        <v>-4345</v>
      </c>
      <c r="V82" s="311"/>
      <c r="W82" s="301">
        <v>-1068</v>
      </c>
      <c r="X82" s="306"/>
      <c r="Y82" s="301">
        <v>-1271</v>
      </c>
      <c r="Z82" s="306"/>
      <c r="AA82" s="301">
        <v>-511</v>
      </c>
      <c r="AB82" s="306"/>
      <c r="AC82" s="301">
        <f t="shared" si="97"/>
        <v>-881</v>
      </c>
      <c r="AD82" s="308"/>
      <c r="AE82" s="310">
        <v>-3731</v>
      </c>
      <c r="AF82" s="309"/>
      <c r="AG82" s="301">
        <v>-607</v>
      </c>
      <c r="AH82" s="391"/>
      <c r="AI82" s="449">
        <v>-397</v>
      </c>
      <c r="AJ82" s="300"/>
    </row>
    <row r="83" spans="1:36" s="229" customFormat="1" x14ac:dyDescent="0.35">
      <c r="A83" s="298" t="s">
        <v>641</v>
      </c>
      <c r="B83" s="298" t="s">
        <v>642</v>
      </c>
      <c r="C83" s="301">
        <v>-7429</v>
      </c>
      <c r="D83" s="300"/>
      <c r="E83" s="301">
        <v>-7413</v>
      </c>
      <c r="F83" s="300"/>
      <c r="G83" s="301">
        <v>-7149</v>
      </c>
      <c r="H83" s="300"/>
      <c r="I83" s="301">
        <v>-6674</v>
      </c>
      <c r="J83" s="306"/>
      <c r="K83" s="310">
        <v>-28665</v>
      </c>
      <c r="L83" s="307"/>
      <c r="M83" s="301">
        <v>-7493</v>
      </c>
      <c r="N83" s="306"/>
      <c r="O83" s="301">
        <v>-8531</v>
      </c>
      <c r="P83" s="306"/>
      <c r="Q83" s="301">
        <v>-8868</v>
      </c>
      <c r="R83" s="306"/>
      <c r="S83" s="301">
        <v>-9971</v>
      </c>
      <c r="T83" s="306"/>
      <c r="U83" s="310">
        <f t="shared" si="115"/>
        <v>-34863</v>
      </c>
      <c r="V83" s="311"/>
      <c r="W83" s="301">
        <v>-12212</v>
      </c>
      <c r="X83" s="306"/>
      <c r="Y83" s="301">
        <v>-13318</v>
      </c>
      <c r="Z83" s="306"/>
      <c r="AA83" s="301">
        <v>-12035</v>
      </c>
      <c r="AB83" s="306"/>
      <c r="AC83" s="301">
        <f t="shared" si="97"/>
        <v>-13007</v>
      </c>
      <c r="AD83" s="308"/>
      <c r="AE83" s="310">
        <v>-50572</v>
      </c>
      <c r="AF83" s="309"/>
      <c r="AG83" s="301">
        <f>AG76+AG82</f>
        <v>-13146</v>
      </c>
      <c r="AH83" s="391"/>
      <c r="AI83" s="449">
        <f>AI76+AI82</f>
        <v>-13672</v>
      </c>
      <c r="AJ83" s="300"/>
    </row>
    <row r="84" spans="1:36" s="229" customFormat="1" x14ac:dyDescent="0.35">
      <c r="O84" s="235"/>
      <c r="Q84" s="235"/>
      <c r="U84" s="235"/>
      <c r="Y84" s="235"/>
      <c r="AA84" s="235"/>
      <c r="AB84" s="235"/>
      <c r="AC84" s="239"/>
      <c r="AI84" s="235"/>
    </row>
    <row r="85" spans="1:36" s="229" customFormat="1" x14ac:dyDescent="0.35">
      <c r="O85" s="235"/>
      <c r="Q85" s="235"/>
      <c r="U85" s="235"/>
      <c r="Y85" s="235"/>
      <c r="AA85" s="235"/>
      <c r="AB85" s="235"/>
      <c r="AI85" s="235"/>
    </row>
    <row r="86" spans="1:36" s="229" customFormat="1" x14ac:dyDescent="0.35">
      <c r="A86" s="317" t="s">
        <v>116</v>
      </c>
      <c r="B86" s="317" t="s">
        <v>647</v>
      </c>
      <c r="Q86" s="235"/>
      <c r="R86" s="235"/>
      <c r="AA86" s="235"/>
    </row>
    <row r="87" spans="1:36" s="229" customFormat="1" x14ac:dyDescent="0.35">
      <c r="A87" s="318" t="s">
        <v>648</v>
      </c>
      <c r="B87" s="318" t="s">
        <v>649</v>
      </c>
    </row>
    <row r="88" spans="1:36" s="229" customFormat="1" x14ac:dyDescent="0.35">
      <c r="A88" s="318" t="s">
        <v>650</v>
      </c>
      <c r="B88" s="318" t="s">
        <v>651</v>
      </c>
    </row>
  </sheetData>
  <mergeCells count="133">
    <mergeCell ref="AI2:AJ2"/>
    <mergeCell ref="AI14:AJ14"/>
    <mergeCell ref="AI26:AJ26"/>
    <mergeCell ref="AI38:AJ38"/>
    <mergeCell ref="AI50:AJ50"/>
    <mergeCell ref="AI62:AJ62"/>
    <mergeCell ref="AI74:AJ74"/>
    <mergeCell ref="AG2:AH2"/>
    <mergeCell ref="Y74:Z74"/>
    <mergeCell ref="AA74:AB74"/>
    <mergeCell ref="AC74:AD74"/>
    <mergeCell ref="AE74:AF74"/>
    <mergeCell ref="AE38:AF38"/>
    <mergeCell ref="Y2:Z2"/>
    <mergeCell ref="AG26:AH26"/>
    <mergeCell ref="AG38:AH38"/>
    <mergeCell ref="AG50:AH50"/>
    <mergeCell ref="AG62:AH62"/>
    <mergeCell ref="AG74:AH74"/>
    <mergeCell ref="AE26:AF26"/>
    <mergeCell ref="AE50:AF50"/>
    <mergeCell ref="AE14:AF14"/>
    <mergeCell ref="AA2:AB2"/>
    <mergeCell ref="AC2:AD2"/>
    <mergeCell ref="A74:A75"/>
    <mergeCell ref="B74:B75"/>
    <mergeCell ref="C74:D74"/>
    <mergeCell ref="E74:F74"/>
    <mergeCell ref="G74:H74"/>
    <mergeCell ref="I74:J74"/>
    <mergeCell ref="K74:L74"/>
    <mergeCell ref="M74:N74"/>
    <mergeCell ref="O74:P74"/>
    <mergeCell ref="Q74:R74"/>
    <mergeCell ref="S74:T74"/>
    <mergeCell ref="U74:V74"/>
    <mergeCell ref="W74:X74"/>
    <mergeCell ref="AE62:AF62"/>
    <mergeCell ref="S62:T62"/>
    <mergeCell ref="U62:V62"/>
    <mergeCell ref="W62:X62"/>
    <mergeCell ref="Y62:Z62"/>
    <mergeCell ref="AA62:AB62"/>
    <mergeCell ref="AC62:AD62"/>
    <mergeCell ref="I62:J62"/>
    <mergeCell ref="K62:L62"/>
    <mergeCell ref="M62:N62"/>
    <mergeCell ref="O62:P62"/>
    <mergeCell ref="Q62:R62"/>
    <mergeCell ref="A62:A63"/>
    <mergeCell ref="B62:B63"/>
    <mergeCell ref="C62:D62"/>
    <mergeCell ref="E62:F62"/>
    <mergeCell ref="G62:H62"/>
    <mergeCell ref="A38:A39"/>
    <mergeCell ref="B38:B39"/>
    <mergeCell ref="C38:D38"/>
    <mergeCell ref="E38:F38"/>
    <mergeCell ref="G38:H38"/>
    <mergeCell ref="I38:J38"/>
    <mergeCell ref="K38:L38"/>
    <mergeCell ref="M38:N38"/>
    <mergeCell ref="A50:A51"/>
    <mergeCell ref="B50:B51"/>
    <mergeCell ref="C50:D50"/>
    <mergeCell ref="E50:F50"/>
    <mergeCell ref="G50:H50"/>
    <mergeCell ref="I50:J50"/>
    <mergeCell ref="K50:L50"/>
    <mergeCell ref="M50:N50"/>
    <mergeCell ref="I26:J26"/>
    <mergeCell ref="K26:L26"/>
    <mergeCell ref="Q50:R50"/>
    <mergeCell ref="S50:T50"/>
    <mergeCell ref="U50:V50"/>
    <mergeCell ref="O38:P38"/>
    <mergeCell ref="Q38:R38"/>
    <mergeCell ref="S38:T38"/>
    <mergeCell ref="U38:V38"/>
    <mergeCell ref="O50:P50"/>
    <mergeCell ref="A2:A3"/>
    <mergeCell ref="B26:B27"/>
    <mergeCell ref="A14:A15"/>
    <mergeCell ref="A26:A27"/>
    <mergeCell ref="B14:B15"/>
    <mergeCell ref="O2:P2"/>
    <mergeCell ref="Q2:R2"/>
    <mergeCell ref="S2:T2"/>
    <mergeCell ref="U2:V2"/>
    <mergeCell ref="C14:D14"/>
    <mergeCell ref="E14:F14"/>
    <mergeCell ref="G14:H14"/>
    <mergeCell ref="I14:J14"/>
    <mergeCell ref="K14:L14"/>
    <mergeCell ref="M2:N2"/>
    <mergeCell ref="B2:B3"/>
    <mergeCell ref="C2:D2"/>
    <mergeCell ref="E2:F2"/>
    <mergeCell ref="G2:H2"/>
    <mergeCell ref="I2:J2"/>
    <mergeCell ref="K2:L2"/>
    <mergeCell ref="C26:D26"/>
    <mergeCell ref="E26:F26"/>
    <mergeCell ref="G26:H26"/>
    <mergeCell ref="AE2:AF2"/>
    <mergeCell ref="AG14:AH14"/>
    <mergeCell ref="M14:N14"/>
    <mergeCell ref="O14:P14"/>
    <mergeCell ref="AA26:AB26"/>
    <mergeCell ref="AC26:AD26"/>
    <mergeCell ref="M26:N26"/>
    <mergeCell ref="W2:X2"/>
    <mergeCell ref="Y14:Z14"/>
    <mergeCell ref="AA14:AB14"/>
    <mergeCell ref="O26:P26"/>
    <mergeCell ref="Q26:R26"/>
    <mergeCell ref="S26:T26"/>
    <mergeCell ref="U26:V26"/>
    <mergeCell ref="W26:X26"/>
    <mergeCell ref="Y26:Z26"/>
    <mergeCell ref="AC14:AD14"/>
    <mergeCell ref="W50:X50"/>
    <mergeCell ref="Y50:Z50"/>
    <mergeCell ref="AA50:AB50"/>
    <mergeCell ref="AC50:AD50"/>
    <mergeCell ref="Y38:Z38"/>
    <mergeCell ref="AA38:AB38"/>
    <mergeCell ref="AC38:AD38"/>
    <mergeCell ref="Q14:R14"/>
    <mergeCell ref="S14:T14"/>
    <mergeCell ref="U14:V14"/>
    <mergeCell ref="W14:X14"/>
    <mergeCell ref="W38:X38"/>
  </mergeCells>
  <pageMargins left="0.7" right="0.7" top="0.75" bottom="0.75" header="0.3" footer="0.3"/>
  <pageSetup paperSize="9" orientation="portrait" verticalDpi="0" r:id="rId1"/>
  <customProperties>
    <customPr name="EpmWorksheetKeyString_GUID" r:id="rId2"/>
  </customProperties>
  <ignoredErrors>
    <ignoredError sqref="D9:J9 D21:AB21 D33:AB33 L9:O9 D69 F69 H69 J69 D81 F81 H81 J81 Q9:AB9" 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19</vt:i4>
      </vt:variant>
    </vt:vector>
  </HeadingPairs>
  <TitlesOfParts>
    <vt:vector size="19" baseType="lpstr">
      <vt:lpstr>Contents</vt:lpstr>
      <vt:lpstr>Financial Highlights</vt:lpstr>
      <vt:lpstr>P&amp;L (HUF)</vt:lpstr>
      <vt:lpstr>P&amp;L (EUR)</vt:lpstr>
      <vt:lpstr>BS</vt:lpstr>
      <vt:lpstr>CF</vt:lpstr>
      <vt:lpstr>Changes in Equity</vt:lpstr>
      <vt:lpstr>Fin. inc-exp (HUF, EUR)</vt:lpstr>
      <vt:lpstr>Business Unit Information</vt:lpstr>
      <vt:lpstr>CNS</vt:lpstr>
      <vt:lpstr>WHC</vt:lpstr>
      <vt:lpstr>BIO</vt:lpstr>
      <vt:lpstr>GM</vt:lpstr>
      <vt:lpstr>Revenue Top10</vt:lpstr>
      <vt:lpstr>Shareholder structure</vt:lpstr>
      <vt:lpstr>BU description</vt:lpstr>
      <vt:lpstr>FX rates </vt:lpstr>
      <vt:lpstr>Note</vt:lpstr>
      <vt:lpstr>Definitions</vt:lpstr>
    </vt:vector>
  </TitlesOfParts>
  <Manager/>
  <Company>RG O365 for Enterprise x64</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Kovács László András</dc:creator>
  <cp:keywords/>
  <dc:description/>
  <cp:lastModifiedBy>Kovács Anna (BEKO)</cp:lastModifiedBy>
  <cp:revision/>
  <dcterms:created xsi:type="dcterms:W3CDTF">2023-04-16T12:25:05Z</dcterms:created>
  <dcterms:modified xsi:type="dcterms:W3CDTF">2024-09-18T10:48:07Z</dcterms:modified>
  <cp:category/>
  <cp:contentStatus/>
</cp:coreProperties>
</file>